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9032" windowHeight="12276" activeTab="1"/>
  </bookViews>
  <sheets>
    <sheet name="Mango" sheetId="1" r:id="rId1"/>
    <sheet name="Information" sheetId="2" r:id="rId2"/>
  </sheets>
  <calcPr calcId="145621"/>
</workbook>
</file>

<file path=xl/calcChain.xml><?xml version="1.0" encoding="utf-8"?>
<calcChain xmlns="http://schemas.openxmlformats.org/spreadsheetml/2006/main">
  <c r="E77" i="1" l="1"/>
  <c r="H30" i="1"/>
  <c r="G30" i="1"/>
  <c r="H20" i="1"/>
  <c r="F79" i="1"/>
  <c r="H8" i="1"/>
  <c r="H42" i="1"/>
  <c r="H66" i="1"/>
  <c r="H9" i="1"/>
  <c r="G9" i="1"/>
  <c r="H10" i="1"/>
  <c r="H13" i="1"/>
  <c r="G13" i="1"/>
  <c r="H14" i="1"/>
  <c r="H15" i="1"/>
  <c r="G15" i="1"/>
  <c r="H16" i="1"/>
  <c r="G16" i="1"/>
  <c r="H17" i="1"/>
  <c r="H23" i="1"/>
  <c r="H24" i="1"/>
  <c r="G24" i="1"/>
  <c r="H25" i="1"/>
  <c r="H26" i="1"/>
  <c r="H27" i="1"/>
  <c r="G27" i="1"/>
  <c r="H28" i="1"/>
  <c r="G28" i="1"/>
  <c r="H29" i="1"/>
  <c r="H31" i="1"/>
  <c r="H32" i="1"/>
  <c r="H33" i="1"/>
  <c r="G33" i="1"/>
  <c r="H36" i="1"/>
  <c r="G36" i="1"/>
  <c r="H39" i="1"/>
  <c r="G39" i="1"/>
  <c r="G46" i="1"/>
  <c r="H46" i="1"/>
  <c r="H54" i="1"/>
  <c r="H67" i="1"/>
  <c r="G47" i="1"/>
  <c r="H47" i="1"/>
  <c r="H51" i="1"/>
  <c r="E58" i="1"/>
  <c r="H58" i="1"/>
  <c r="H4" i="1"/>
  <c r="H60" i="1"/>
  <c r="G60" i="1"/>
  <c r="H61" i="1"/>
  <c r="G61" i="1"/>
  <c r="F78" i="1"/>
  <c r="F77" i="1"/>
  <c r="F76" i="1"/>
  <c r="F75" i="1"/>
  <c r="G48" i="1"/>
  <c r="G49" i="1"/>
  <c r="G50" i="1"/>
  <c r="G52" i="1"/>
  <c r="G8" i="1"/>
  <c r="G10" i="1"/>
  <c r="G14" i="1"/>
  <c r="G17" i="1"/>
  <c r="G20" i="1"/>
  <c r="G23" i="1"/>
  <c r="G25" i="1"/>
  <c r="G26" i="1"/>
  <c r="G29" i="1"/>
  <c r="G31" i="1"/>
  <c r="G32" i="1"/>
  <c r="G54" i="1"/>
  <c r="G67" i="1"/>
  <c r="G42" i="1"/>
  <c r="G66" i="1"/>
  <c r="H69" i="1"/>
  <c r="G58" i="1"/>
  <c r="G63" i="1"/>
  <c r="G68" i="1"/>
  <c r="H63" i="1"/>
  <c r="H68" i="1"/>
  <c r="G78" i="1"/>
  <c r="H78" i="1"/>
  <c r="G79" i="1"/>
  <c r="H79" i="1"/>
  <c r="G76" i="1"/>
  <c r="H76" i="1"/>
  <c r="G77" i="1"/>
  <c r="H77" i="1"/>
  <c r="G69" i="1"/>
  <c r="G70" i="1"/>
  <c r="G75" i="1"/>
  <c r="H75" i="1"/>
  <c r="H70" i="1"/>
</calcChain>
</file>

<file path=xl/sharedStrings.xml><?xml version="1.0" encoding="utf-8"?>
<sst xmlns="http://schemas.openxmlformats.org/spreadsheetml/2006/main" count="109" uniqueCount="81">
  <si>
    <t>(1) GROSS INCOME</t>
  </si>
  <si>
    <t>$/Ha</t>
  </si>
  <si>
    <t>(2) PRE HARVEST COSTS</t>
  </si>
  <si>
    <t>Operations</t>
  </si>
  <si>
    <t>$/Operation</t>
  </si>
  <si>
    <t>Machinery Costs</t>
  </si>
  <si>
    <t>(F.O.R.M.)</t>
  </si>
  <si>
    <t>$/Kg</t>
  </si>
  <si>
    <t>Fertiliser</t>
  </si>
  <si>
    <t>Applications</t>
  </si>
  <si>
    <t>$/Kg or L</t>
  </si>
  <si>
    <t>Herbicide</t>
  </si>
  <si>
    <t>Insecticide</t>
  </si>
  <si>
    <t>Fungicide</t>
  </si>
  <si>
    <t>ML/Ha</t>
  </si>
  <si>
    <t>$/ML</t>
  </si>
  <si>
    <t>Water Charges</t>
  </si>
  <si>
    <t>Hours</t>
  </si>
  <si>
    <t>$/Hour</t>
  </si>
  <si>
    <t>Labour Cost</t>
  </si>
  <si>
    <t xml:space="preserve"> </t>
  </si>
  <si>
    <t>TOTAL PRE HARVEST COSTS</t>
  </si>
  <si>
    <t>(3) POST HARVEST COSTS</t>
  </si>
  <si>
    <t>$/Hr</t>
  </si>
  <si>
    <t>Harvest &amp; Pack</t>
  </si>
  <si>
    <t>Packing</t>
  </si>
  <si>
    <t>TOTAL POST HARVEST COSTS</t>
  </si>
  <si>
    <t>(4) MARKETING COSTS</t>
  </si>
  <si>
    <t>$/Pallet</t>
  </si>
  <si>
    <t>Pallets</t>
  </si>
  <si>
    <t>Freight</t>
  </si>
  <si>
    <t>Commission</t>
  </si>
  <si>
    <t>Levies</t>
  </si>
  <si>
    <t xml:space="preserve"> cents per $ of gross</t>
  </si>
  <si>
    <t>TOTAL MARKETING COSTS</t>
  </si>
  <si>
    <t>SUMMARY TABLE</t>
  </si>
  <si>
    <t>Gross</t>
  </si>
  <si>
    <t>Variable</t>
  </si>
  <si>
    <t>Income</t>
  </si>
  <si>
    <t>Costs</t>
  </si>
  <si>
    <t>Margin</t>
  </si>
  <si>
    <t>Picking</t>
  </si>
  <si>
    <t>Solubor</t>
  </si>
  <si>
    <t>GROSS MARGIN FOR MANGO (Kensington Pride - Full Production) - Irrigated Dry Tropics</t>
  </si>
  <si>
    <t>(185 trees per hectare)</t>
  </si>
  <si>
    <t>No. Trays/Tree</t>
  </si>
  <si>
    <t>$/SL Tray</t>
  </si>
  <si>
    <t>Fresh Fruit Only</t>
  </si>
  <si>
    <t>$/Tree</t>
  </si>
  <si>
    <t>Kgs/Tree</t>
  </si>
  <si>
    <t>CK88</t>
  </si>
  <si>
    <t>Pruning (Hand)</t>
  </si>
  <si>
    <t>Trees/hr</t>
  </si>
  <si>
    <t>Cost/hr</t>
  </si>
  <si>
    <t>L or Kgs/Tr</t>
  </si>
  <si>
    <t>Trays/Hr</t>
  </si>
  <si>
    <t>$/Tray</t>
  </si>
  <si>
    <t>Dipping</t>
  </si>
  <si>
    <t xml:space="preserve">Gas </t>
  </si>
  <si>
    <t>Pallet Hire</t>
  </si>
  <si>
    <t xml:space="preserve">SL Trays </t>
  </si>
  <si>
    <t>Machinery</t>
  </si>
  <si>
    <t>(Pallet = 128 Trys)</t>
  </si>
  <si>
    <t xml:space="preserve">TOTAL PRE HARVEST COSTS </t>
  </si>
  <si>
    <t xml:space="preserve">TOTAL POST HARVEST COSTS </t>
  </si>
  <si>
    <t xml:space="preserve">TOTAL VARIABLE COSTS </t>
  </si>
  <si>
    <t xml:space="preserve">GROSS MARGIN </t>
  </si>
  <si>
    <t>SENSITIVITY ANALYSIS - Expressed per Ha for Fresh Fruit Only</t>
  </si>
  <si>
    <t>Author - Bill Johnston (developed 1998)</t>
  </si>
  <si>
    <t>Slash/Spray/Prune</t>
  </si>
  <si>
    <t>Potassium Nitrate</t>
  </si>
  <si>
    <t>I1</t>
  </si>
  <si>
    <t>I2</t>
  </si>
  <si>
    <t>I3</t>
  </si>
  <si>
    <t>I4</t>
  </si>
  <si>
    <t>I5</t>
  </si>
  <si>
    <t>H1</t>
  </si>
  <si>
    <t>F1</t>
  </si>
  <si>
    <t>F2</t>
  </si>
  <si>
    <t>F3</t>
  </si>
  <si>
    <t>Updated Tom Mullins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</si>
</sst>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quot;$&quot;#,##0.00"/>
    <numFmt numFmtId="165" formatCode="&quot;$&quot;#,##0"/>
    <numFmt numFmtId="166" formatCode="&quot;$&quot;#,##0.00_);\(&quot;$&quot;#,##0.00\)"/>
    <numFmt numFmtId="167" formatCode="&quot;$&quot;#,##0_);\(&quot;$&quot;#,##0\)"/>
    <numFmt numFmtId="169" formatCode="&quot;$&quot;#,##0.000"/>
    <numFmt numFmtId="174" formatCode="0.000"/>
  </numFmts>
  <fonts count="11" x14ac:knownFonts="1">
    <font>
      <sz val="10"/>
      <name val="Arial"/>
    </font>
    <font>
      <sz val="10"/>
      <name val="Arial"/>
    </font>
    <font>
      <b/>
      <u/>
      <sz val="10"/>
      <name val="Arial"/>
      <family val="2"/>
    </font>
    <font>
      <b/>
      <sz val="10"/>
      <name val="Arial"/>
      <family val="2"/>
    </font>
    <font>
      <sz val="10"/>
      <name val="Arial"/>
      <family val="2"/>
    </font>
    <font>
      <b/>
      <sz val="10"/>
      <name val="Arial"/>
      <family val="2"/>
    </font>
    <font>
      <b/>
      <sz val="10"/>
      <color indexed="9"/>
      <name val="Arial"/>
      <family val="2"/>
    </font>
    <font>
      <b/>
      <u/>
      <sz val="10"/>
      <name val="Arial"/>
      <family val="2"/>
    </font>
    <font>
      <sz val="10"/>
      <color indexed="9"/>
      <name val="Arial"/>
      <family val="2"/>
    </font>
    <font>
      <sz val="8"/>
      <name val="Arial"/>
      <family val="2"/>
    </font>
    <font>
      <b/>
      <sz val="10"/>
      <color indexed="9"/>
      <name val="Arial"/>
      <family val="2"/>
    </font>
  </fonts>
  <fills count="7">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indexed="58"/>
        <bgColor indexed="64"/>
      </patternFill>
    </fill>
    <fill>
      <patternFill patternType="solid">
        <fgColor indexed="4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2" fillId="0" borderId="0" xfId="0" applyFont="1" applyFill="1" applyBorder="1"/>
    <xf numFmtId="0" fontId="0" fillId="0" borderId="0" xfId="0" applyFill="1" applyBorder="1"/>
    <xf numFmtId="0" fontId="0" fillId="0" borderId="0" xfId="0" applyFill="1" applyBorder="1" applyAlignment="1">
      <alignment horizontal="center"/>
    </xf>
    <xf numFmtId="0" fontId="0" fillId="0" borderId="0" xfId="0" applyFill="1"/>
    <xf numFmtId="0" fontId="3" fillId="0" borderId="1" xfId="0" applyFont="1" applyFill="1" applyBorder="1"/>
    <xf numFmtId="0" fontId="0" fillId="0" borderId="2" xfId="0" applyFill="1" applyBorder="1"/>
    <xf numFmtId="0" fontId="0" fillId="0" borderId="2" xfId="0" applyFill="1" applyBorder="1" applyAlignment="1">
      <alignment horizontal="center"/>
    </xf>
    <xf numFmtId="0" fontId="0" fillId="0" borderId="3" xfId="0" applyFill="1" applyBorder="1"/>
    <xf numFmtId="0" fontId="3" fillId="0" borderId="4" xfId="0" applyFont="1" applyFill="1" applyBorder="1" applyAlignment="1">
      <alignment horizontal="center"/>
    </xf>
    <xf numFmtId="0" fontId="3" fillId="0" borderId="5" xfId="0" applyFont="1" applyFill="1" applyBorder="1" applyAlignment="1">
      <alignment horizontal="center"/>
    </xf>
    <xf numFmtId="0" fontId="7" fillId="0" borderId="3" xfId="0" applyFont="1" applyFill="1" applyBorder="1"/>
    <xf numFmtId="0" fontId="3" fillId="0" borderId="0" xfId="0" applyFont="1" applyFill="1" applyBorder="1"/>
    <xf numFmtId="0" fontId="0" fillId="2" borderId="3" xfId="0" applyFill="1" applyBorder="1" applyAlignment="1" applyProtection="1">
      <alignment horizontal="center"/>
      <protection locked="0"/>
    </xf>
    <xf numFmtId="166" fontId="8" fillId="3" borderId="3" xfId="1" applyNumberFormat="1" applyFont="1" applyFill="1" applyBorder="1" applyAlignment="1">
      <alignment horizontal="center"/>
    </xf>
    <xf numFmtId="166" fontId="8" fillId="3" borderId="6" xfId="1" applyNumberFormat="1" applyFont="1" applyFill="1" applyBorder="1" applyAlignment="1">
      <alignment horizontal="center"/>
    </xf>
    <xf numFmtId="0" fontId="3" fillId="0" borderId="3" xfId="0" applyFont="1" applyFill="1" applyBorder="1"/>
    <xf numFmtId="166" fontId="0" fillId="2" borderId="6" xfId="0" applyNumberFormat="1" applyFill="1" applyBorder="1" applyAlignment="1" applyProtection="1">
      <alignment horizontal="center"/>
      <protection locked="0"/>
    </xf>
    <xf numFmtId="166" fontId="0" fillId="2" borderId="7" xfId="0" applyNumberFormat="1" applyFill="1" applyBorder="1" applyAlignment="1" applyProtection="1">
      <alignment horizontal="center"/>
      <protection locked="0"/>
    </xf>
    <xf numFmtId="0" fontId="3" fillId="0" borderId="8" xfId="0" applyFont="1" applyFill="1" applyBorder="1" applyAlignment="1">
      <alignment horizontal="center"/>
    </xf>
    <xf numFmtId="0" fontId="2" fillId="0" borderId="3" xfId="0" applyFont="1" applyFill="1" applyBorder="1"/>
    <xf numFmtId="0" fontId="0" fillId="2" borderId="6"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5" xfId="0" applyFill="1" applyBorder="1" applyAlignment="1" applyProtection="1">
      <alignment horizontal="center"/>
      <protection locked="0"/>
    </xf>
    <xf numFmtId="166" fontId="0" fillId="2" borderId="5" xfId="0" applyNumberFormat="1" applyFill="1" applyBorder="1" applyAlignment="1" applyProtection="1">
      <alignment horizontal="center"/>
      <protection locked="0"/>
    </xf>
    <xf numFmtId="0" fontId="3" fillId="0" borderId="9" xfId="0" applyFont="1" applyFill="1" applyBorder="1"/>
    <xf numFmtId="0" fontId="0" fillId="0" borderId="10" xfId="0" applyFill="1" applyBorder="1"/>
    <xf numFmtId="0" fontId="0" fillId="0" borderId="10" xfId="0" applyFill="1" applyBorder="1" applyAlignment="1">
      <alignment horizontal="center"/>
    </xf>
    <xf numFmtId="166" fontId="6" fillId="3" borderId="9" xfId="1" applyNumberFormat="1" applyFont="1" applyFill="1" applyBorder="1" applyAlignment="1">
      <alignment horizontal="center"/>
    </xf>
    <xf numFmtId="167" fontId="6" fillId="3" borderId="7" xfId="1" applyNumberFormat="1" applyFont="1" applyFill="1" applyBorder="1" applyAlignment="1">
      <alignment horizontal="center"/>
    </xf>
    <xf numFmtId="0" fontId="0" fillId="0" borderId="0" xfId="0" applyFill="1" applyAlignment="1">
      <alignment horizontal="center"/>
    </xf>
    <xf numFmtId="166" fontId="8" fillId="3" borderId="3" xfId="0" applyNumberFormat="1" applyFont="1" applyFill="1" applyBorder="1" applyAlignment="1">
      <alignment horizontal="center"/>
    </xf>
    <xf numFmtId="166" fontId="8" fillId="3" borderId="6" xfId="0" applyNumberFormat="1" applyFont="1" applyFill="1" applyBorder="1" applyAlignment="1">
      <alignment horizontal="center"/>
    </xf>
    <xf numFmtId="0" fontId="0" fillId="0" borderId="0" xfId="0" applyFill="1" applyBorder="1" applyAlignment="1" applyProtection="1">
      <alignment horizontal="center"/>
      <protection locked="0"/>
    </xf>
    <xf numFmtId="166" fontId="0" fillId="0" borderId="0" xfId="0" applyNumberFormat="1" applyFill="1" applyBorder="1" applyAlignment="1" applyProtection="1">
      <alignment horizontal="center"/>
      <protection locked="0"/>
    </xf>
    <xf numFmtId="166" fontId="1" fillId="2" borderId="5" xfId="0" applyNumberFormat="1" applyFont="1" applyFill="1" applyBorder="1" applyAlignment="1" applyProtection="1">
      <alignment horizontal="center"/>
      <protection locked="0"/>
    </xf>
    <xf numFmtId="166" fontId="0" fillId="2" borderId="9" xfId="0" applyNumberFormat="1" applyFill="1" applyBorder="1" applyAlignment="1" applyProtection="1">
      <alignment horizontal="center"/>
      <protection locked="0"/>
    </xf>
    <xf numFmtId="166" fontId="8" fillId="3" borderId="11" xfId="0" applyNumberFormat="1" applyFont="1" applyFill="1" applyBorder="1" applyAlignment="1">
      <alignment horizontal="center"/>
    </xf>
    <xf numFmtId="169" fontId="4" fillId="2" borderId="5" xfId="2" applyNumberFormat="1" applyFont="1" applyFill="1" applyBorder="1" applyAlignment="1" applyProtection="1">
      <alignment horizontal="center"/>
      <protection locked="0"/>
    </xf>
    <xf numFmtId="166" fontId="8" fillId="3" borderId="12" xfId="0" applyNumberFormat="1" applyFont="1" applyFill="1" applyBorder="1" applyAlignment="1">
      <alignment horizontal="center"/>
    </xf>
    <xf numFmtId="166" fontId="8" fillId="3" borderId="13" xfId="0" applyNumberFormat="1" applyFont="1" applyFill="1" applyBorder="1" applyAlignment="1">
      <alignment horizontal="center"/>
    </xf>
    <xf numFmtId="166" fontId="6" fillId="3" borderId="7" xfId="0" applyNumberFormat="1" applyFont="1" applyFill="1" applyBorder="1" applyAlignment="1">
      <alignment horizontal="center"/>
    </xf>
    <xf numFmtId="167" fontId="6" fillId="3" borderId="14" xfId="0" applyNumberFormat="1" applyFont="1" applyFill="1" applyBorder="1" applyAlignment="1">
      <alignment horizontal="center"/>
    </xf>
    <xf numFmtId="0" fontId="2" fillId="0" borderId="0" xfId="0" applyFont="1" applyFill="1" applyAlignment="1">
      <alignment horizontal="left"/>
    </xf>
    <xf numFmtId="0" fontId="3" fillId="0" borderId="15" xfId="0" applyFont="1" applyFill="1" applyBorder="1" applyAlignment="1">
      <alignment horizontal="center"/>
    </xf>
    <xf numFmtId="166" fontId="8" fillId="4" borderId="5" xfId="0" applyNumberFormat="1" applyFont="1" applyFill="1" applyBorder="1" applyAlignment="1">
      <alignment horizontal="center"/>
    </xf>
    <xf numFmtId="167" fontId="8" fillId="4" borderId="5" xfId="0" applyNumberFormat="1" applyFont="1" applyFill="1" applyBorder="1" applyAlignment="1">
      <alignment horizontal="center"/>
    </xf>
    <xf numFmtId="0" fontId="0" fillId="0" borderId="0" xfId="0" applyFill="1" applyAlignment="1"/>
    <xf numFmtId="166" fontId="6" fillId="5" borderId="5" xfId="0" applyNumberFormat="1" applyFont="1" applyFill="1" applyBorder="1" applyAlignment="1">
      <alignment horizontal="center"/>
    </xf>
    <xf numFmtId="167" fontId="6" fillId="5" borderId="5" xfId="0" applyNumberFormat="1" applyFont="1" applyFill="1" applyBorder="1" applyAlignment="1">
      <alignment horizontal="center"/>
    </xf>
    <xf numFmtId="0" fontId="0" fillId="0" borderId="0" xfId="0" applyFill="1" applyAlignment="1">
      <alignment horizontal="centerContinuous"/>
    </xf>
    <xf numFmtId="0" fontId="3" fillId="0" borderId="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0" fillId="0" borderId="9" xfId="0" applyFill="1" applyBorder="1" applyAlignment="1">
      <alignment horizontal="center"/>
    </xf>
    <xf numFmtId="0" fontId="3" fillId="0" borderId="7" xfId="0" applyFont="1" applyFill="1" applyBorder="1" applyAlignment="1">
      <alignment horizontal="center"/>
    </xf>
    <xf numFmtId="0" fontId="3" fillId="0" borderId="14" xfId="0" applyFont="1" applyFill="1" applyBorder="1" applyAlignment="1">
      <alignment horizontal="center"/>
    </xf>
    <xf numFmtId="164" fontId="3" fillId="2" borderId="3" xfId="0" applyNumberFormat="1" applyFont="1" applyFill="1" applyBorder="1" applyAlignment="1" applyProtection="1">
      <alignment horizontal="center"/>
      <protection locked="0"/>
    </xf>
    <xf numFmtId="167" fontId="8" fillId="4" borderId="6" xfId="0" applyNumberFormat="1" applyFont="1" applyFill="1" applyBorder="1" applyAlignment="1">
      <alignment horizontal="center"/>
    </xf>
    <xf numFmtId="167" fontId="8" fillId="4" borderId="11" xfId="0" applyNumberFormat="1" applyFont="1" applyFill="1" applyBorder="1" applyAlignment="1">
      <alignment horizontal="center"/>
    </xf>
    <xf numFmtId="164" fontId="3" fillId="2" borderId="9" xfId="0" applyNumberFormat="1" applyFont="1" applyFill="1" applyBorder="1" applyAlignment="1" applyProtection="1">
      <alignment horizontal="center"/>
      <protection locked="0"/>
    </xf>
    <xf numFmtId="167" fontId="8" fillId="4" borderId="7" xfId="0" applyNumberFormat="1" applyFont="1" applyFill="1" applyBorder="1" applyAlignment="1">
      <alignment horizontal="center"/>
    </xf>
    <xf numFmtId="167" fontId="8" fillId="4" borderId="14" xfId="0" applyNumberFormat="1" applyFont="1" applyFill="1" applyBorder="1" applyAlignment="1">
      <alignment horizontal="center"/>
    </xf>
    <xf numFmtId="165" fontId="6" fillId="3" borderId="5" xfId="0" applyNumberFormat="1" applyFont="1" applyFill="1" applyBorder="1" applyAlignment="1">
      <alignment horizontal="center"/>
    </xf>
    <xf numFmtId="0" fontId="0" fillId="0" borderId="13" xfId="0" applyFill="1" applyBorder="1" applyAlignment="1">
      <alignment horizontal="center"/>
    </xf>
    <xf numFmtId="166" fontId="0" fillId="2" borderId="0" xfId="0" applyNumberFormat="1" applyFill="1" applyBorder="1" applyAlignment="1" applyProtection="1">
      <alignment horizontal="center"/>
      <protection locked="0"/>
    </xf>
    <xf numFmtId="166" fontId="8" fillId="3" borderId="1" xfId="1" applyNumberFormat="1" applyFont="1" applyFill="1" applyBorder="1" applyAlignment="1">
      <alignment horizontal="center"/>
    </xf>
    <xf numFmtId="0" fontId="8" fillId="3" borderId="12" xfId="0" applyFont="1" applyFill="1" applyBorder="1" applyAlignment="1">
      <alignment horizontal="center"/>
    </xf>
    <xf numFmtId="166" fontId="1" fillId="2" borderId="12" xfId="0" applyNumberFormat="1" applyFont="1" applyFill="1" applyBorder="1" applyAlignment="1" applyProtection="1">
      <alignment horizontal="center"/>
      <protection locked="0"/>
    </xf>
    <xf numFmtId="166" fontId="1" fillId="2" borderId="7" xfId="0" applyNumberFormat="1" applyFont="1" applyFill="1" applyBorder="1" applyAlignment="1" applyProtection="1">
      <alignment horizontal="center"/>
      <protection locked="0"/>
    </xf>
    <xf numFmtId="10" fontId="4" fillId="2" borderId="5" xfId="0" applyNumberFormat="1" applyFont="1" applyFill="1" applyBorder="1" applyAlignment="1" applyProtection="1">
      <alignment horizontal="center"/>
      <protection locked="0"/>
    </xf>
    <xf numFmtId="166" fontId="0" fillId="2" borderId="10" xfId="0" applyNumberFormat="1" applyFill="1" applyBorder="1" applyAlignment="1" applyProtection="1">
      <alignment horizontal="center"/>
      <protection locked="0"/>
    </xf>
    <xf numFmtId="2" fontId="8" fillId="3" borderId="7" xfId="0" applyNumberFormat="1" applyFont="1" applyFill="1" applyBorder="1" applyAlignment="1" applyProtection="1">
      <alignment horizontal="center"/>
    </xf>
    <xf numFmtId="0" fontId="5" fillId="0" borderId="4" xfId="0" applyFont="1" applyFill="1" applyBorder="1" applyAlignment="1">
      <alignment horizontal="center"/>
    </xf>
    <xf numFmtId="0" fontId="4" fillId="0" borderId="8" xfId="0" applyFont="1" applyFill="1" applyBorder="1" applyAlignment="1">
      <alignment horizontal="center"/>
    </xf>
    <xf numFmtId="0" fontId="5" fillId="0" borderId="8" xfId="0" applyFont="1" applyFill="1" applyBorder="1" applyAlignment="1">
      <alignment horizontal="center"/>
    </xf>
    <xf numFmtId="0" fontId="5" fillId="0" borderId="15" xfId="0" applyFont="1" applyFill="1" applyBorder="1" applyAlignment="1">
      <alignment horizontal="center"/>
    </xf>
    <xf numFmtId="0" fontId="1" fillId="2" borderId="5" xfId="0" applyFont="1" applyFill="1" applyBorder="1" applyAlignment="1" applyProtection="1">
      <alignment horizontal="center"/>
      <protection locked="0"/>
    </xf>
    <xf numFmtId="0" fontId="1" fillId="0" borderId="10" xfId="0" applyFont="1" applyFill="1" applyBorder="1" applyAlignment="1">
      <alignment horizontal="center"/>
    </xf>
    <xf numFmtId="164" fontId="1" fillId="2" borderId="5" xfId="0" applyNumberFormat="1"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66" fontId="3" fillId="0" borderId="5" xfId="0" applyNumberFormat="1" applyFont="1" applyFill="1" applyBorder="1" applyAlignment="1" applyProtection="1">
      <alignment horizontal="center"/>
      <protection locked="0"/>
    </xf>
    <xf numFmtId="166" fontId="1" fillId="2" borderId="6" xfId="0" applyNumberFormat="1" applyFont="1" applyFill="1" applyBorder="1" applyAlignment="1" applyProtection="1">
      <alignment horizontal="center"/>
      <protection locked="0"/>
    </xf>
    <xf numFmtId="0" fontId="0" fillId="0" borderId="0" xfId="0" applyFill="1" applyBorder="1" applyAlignment="1">
      <alignment horizontal="left"/>
    </xf>
    <xf numFmtId="166" fontId="0" fillId="2" borderId="3" xfId="0" applyNumberFormat="1" applyFill="1" applyBorder="1" applyAlignment="1" applyProtection="1">
      <alignment horizontal="center"/>
      <protection locked="0"/>
    </xf>
    <xf numFmtId="0" fontId="0" fillId="6" borderId="5" xfId="0" applyFill="1" applyBorder="1" applyProtection="1">
      <protection locked="0"/>
    </xf>
    <xf numFmtId="174" fontId="0" fillId="2" borderId="6" xfId="0" applyNumberFormat="1" applyFill="1" applyBorder="1" applyAlignment="1" applyProtection="1">
      <alignment horizontal="center"/>
      <protection locked="0"/>
    </xf>
    <xf numFmtId="174" fontId="0" fillId="2" borderId="7" xfId="0" applyNumberFormat="1" applyFill="1" applyBorder="1" applyAlignment="1" applyProtection="1">
      <alignment horizontal="center"/>
      <protection locked="0"/>
    </xf>
    <xf numFmtId="164" fontId="6" fillId="3" borderId="5" xfId="0" applyNumberFormat="1" applyFont="1" applyFill="1" applyBorder="1" applyAlignment="1" applyProtection="1">
      <alignment horizontal="center"/>
    </xf>
    <xf numFmtId="0" fontId="10" fillId="5" borderId="5" xfId="0" applyFont="1" applyFill="1" applyBorder="1" applyAlignment="1"/>
    <xf numFmtId="0" fontId="10" fillId="4" borderId="5"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209550</xdr:colOff>
      <xdr:row>2</xdr:row>
      <xdr:rowOff>0</xdr:rowOff>
    </xdr:from>
    <xdr:to>
      <xdr:col>11</xdr:col>
      <xdr:colOff>131469</xdr:colOff>
      <xdr:row>7</xdr:row>
      <xdr:rowOff>38100</xdr:rowOff>
    </xdr:to>
    <xdr:sp macro="" textlink="">
      <xdr:nvSpPr>
        <xdr:cNvPr id="4" name="TextBox 3"/>
        <xdr:cNvSpPr txBox="1"/>
      </xdr:nvSpPr>
      <xdr:spPr>
        <a:xfrm>
          <a:off x="8696325" y="323850"/>
          <a:ext cx="17430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data provided here is an example only</a:t>
          </a:r>
          <a:r>
            <a:rPr lang="en-AU" sz="1100" baseline="0"/>
            <a:t> and should be revised to reflect your particular situation.</a:t>
          </a:r>
          <a:endParaRPr lang="en-AU" sz="1100"/>
        </a:p>
      </xdr:txBody>
    </xdr:sp>
    <xdr:clientData/>
  </xdr:twoCellAnchor>
  <xdr:twoCellAnchor editAs="oneCell">
    <xdr:from>
      <xdr:col>8</xdr:col>
      <xdr:colOff>449580</xdr:colOff>
      <xdr:row>7</xdr:row>
      <xdr:rowOff>144780</xdr:rowOff>
    </xdr:from>
    <xdr:to>
      <xdr:col>10</xdr:col>
      <xdr:colOff>548640</xdr:colOff>
      <xdr:row>16</xdr:row>
      <xdr:rowOff>160020</xdr:rowOff>
    </xdr:to>
    <xdr:pic>
      <xdr:nvPicPr>
        <xdr:cNvPr id="205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6860" y="1318260"/>
          <a:ext cx="1348740" cy="1524000"/>
        </a:xfrm>
        <a:prstGeom prst="rect">
          <a:avLst/>
        </a:prstGeom>
        <a:noFill/>
        <a:ln w="9525">
          <a:solidFill>
            <a:srgbClr val="4A452A"/>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17</xdr:col>
      <xdr:colOff>0</xdr:colOff>
      <xdr:row>122</xdr:row>
      <xdr:rowOff>0</xdr:rowOff>
    </xdr:to>
    <xdr:sp macro="" textlink="">
      <xdr:nvSpPr>
        <xdr:cNvPr id="1026" name="Text Box 2"/>
        <xdr:cNvSpPr txBox="1">
          <a:spLocks noChangeArrowheads="1"/>
        </xdr:cNvSpPr>
      </xdr:nvSpPr>
      <xdr:spPr bwMode="auto">
        <a:xfrm>
          <a:off x="76200" y="57150"/>
          <a:ext cx="10287000" cy="196977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000" b="1" i="0" u="sng" strike="noStrike" baseline="0">
              <a:solidFill>
                <a:srgbClr val="000000"/>
              </a:solidFill>
              <a:latin typeface="Arial"/>
              <a:cs typeface="Arial"/>
            </a:rPr>
            <a:t>1. Introduction</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template aims to assist farmers to make more informed production and business decisions. By using the gross margin guideline, to understand what it costs to grow and sell an agricultural product, a farmer may be better able to identify areas within his/her business where the margins can be improved. It should be emphasised that this template is only a guide and should be adapted to the individual’s situation. Every farmer has different soil types, costs &amp; returns, application rates, and so forth. It should be used as a framework to determine your own costs of production and crop selection. </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2. What is a Gross Margin?</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Gross Margin (GM) is a financial yardstick used for comparing alternative farm enterprises. The GM is calculated by subtracting all variable costs directly incurred by the enterprise from the gross income received for the sale of the produce. Variable costs include land preparation, fertiliser, planting, seed, chemicals, casual labour, picking, packaging, freight, and selling expenses. Gross income is that received before any agents commission, levies, freight or other selling costs are subtracted. A Gross Margin is not a measure of farm profit as it does not take into account fixed costs of the enterprise. These include rates, operators labour, insurance, interest, depreciation, administration, and so forth. You may consider the Gross Margin as a contribution towards farm overheads (fixed costs). Gross margins for different cropping enterprises can only be compared if they use the same land, permanent labour, and machinery resources. If this is not the case a more detailed analysis is required.</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Gross Margin is expressed in several ways; per hectare, per carton, or per tonne. Expressing the GM as $ per Megalitre can also be useful as water can be a limiting factor of production. The basic calculation of a Gross Margin is as follows:</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GROSS INCOME (Price x Yield)</a:t>
          </a:r>
        </a:p>
        <a:p>
          <a:pPr algn="l" rtl="0">
            <a:defRPr sz="1000"/>
          </a:pPr>
          <a:endParaRPr lang="en-AU" sz="1000" b="1"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Less:       TOTAL GROWING COSTS ($/ha)</a:t>
          </a:r>
        </a:p>
        <a:p>
          <a:pPr algn="l" rtl="0">
            <a:defRPr sz="1000"/>
          </a:pPr>
          <a:r>
            <a:rPr lang="en-AU" sz="1000" b="1" i="0" u="none" strike="noStrike" baseline="0">
              <a:solidFill>
                <a:srgbClr val="000000"/>
              </a:solidFill>
              <a:latin typeface="Arial"/>
              <a:cs typeface="Arial"/>
            </a:rPr>
            <a:t>               HARVESTING COSTS ($/Carton x Yield)</a:t>
          </a:r>
        </a:p>
        <a:p>
          <a:pPr algn="l" rtl="0">
            <a:defRPr sz="1000"/>
          </a:pPr>
          <a:r>
            <a:rPr lang="en-AU" sz="1000" b="1" i="0" u="none" strike="noStrike" baseline="0">
              <a:solidFill>
                <a:srgbClr val="000000"/>
              </a:solidFill>
              <a:latin typeface="Arial"/>
              <a:cs typeface="Arial"/>
            </a:rPr>
            <a:t>               PACKING AND PACKAGING COSTS ($/Carton x Yield)</a:t>
          </a:r>
        </a:p>
        <a:p>
          <a:pPr algn="l" rtl="0">
            <a:defRPr sz="1000"/>
          </a:pPr>
          <a:r>
            <a:rPr lang="en-AU" sz="1000" b="1" i="0" u="none" strike="noStrike" baseline="0">
              <a:solidFill>
                <a:srgbClr val="000000"/>
              </a:solidFill>
              <a:latin typeface="Arial"/>
              <a:cs typeface="Arial"/>
            </a:rPr>
            <a:t>               FREIGHT COSTS ($/Carton x Yield)</a:t>
          </a:r>
        </a:p>
        <a:p>
          <a:pPr algn="l" rtl="0">
            <a:defRPr sz="1000"/>
          </a:pPr>
          <a:r>
            <a:rPr lang="en-AU" sz="1000" b="1" i="0" u="none" strike="noStrike" baseline="0">
              <a:solidFill>
                <a:srgbClr val="000000"/>
              </a:solidFill>
              <a:latin typeface="Arial"/>
              <a:cs typeface="Arial"/>
            </a:rPr>
            <a:t>               MARKETING COSTS (Commission/Levies Rate)</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Gross Margins can also be very useful in the following situations:</a:t>
          </a:r>
        </a:p>
        <a:p>
          <a:pPr algn="l" rtl="0">
            <a:defRPr sz="1000"/>
          </a:pPr>
          <a:r>
            <a:rPr lang="en-AU" sz="1000" b="0" i="0" u="none" strike="noStrike" baseline="0">
              <a:solidFill>
                <a:srgbClr val="000000"/>
              </a:solidFill>
              <a:latin typeface="Arial"/>
              <a:cs typeface="Arial"/>
            </a:rPr>
            <a:t>• Selecting the most desirable (profitable, time efficient, water efficient, etc.) cropping enterprise or rotation.</a:t>
          </a:r>
        </a:p>
        <a:p>
          <a:pPr algn="l" rtl="0">
            <a:defRPr sz="1000"/>
          </a:pPr>
          <a:r>
            <a:rPr lang="en-AU" sz="1000" b="0" i="0" u="none" strike="noStrike" baseline="0">
              <a:solidFill>
                <a:srgbClr val="000000"/>
              </a:solidFill>
              <a:latin typeface="Arial"/>
              <a:cs typeface="Arial"/>
            </a:rPr>
            <a:t>• Comparing different farming methods  eg. seed v. speedling, or trickle v. flood irrigation.</a:t>
          </a:r>
        </a:p>
        <a:p>
          <a:pPr algn="l" rtl="0">
            <a:defRPr sz="1000"/>
          </a:pPr>
          <a:r>
            <a:rPr lang="en-AU" sz="1000" b="0" i="0" u="none" strike="noStrike" baseline="0">
              <a:solidFill>
                <a:srgbClr val="000000"/>
              </a:solidFill>
              <a:latin typeface="Arial"/>
              <a:cs typeface="Arial"/>
            </a:rPr>
            <a:t>• Preparing cash-flow budgets.</a:t>
          </a:r>
        </a:p>
        <a:p>
          <a:pPr algn="l" rtl="0">
            <a:defRPr sz="1000"/>
          </a:pPr>
          <a:r>
            <a:rPr lang="en-AU" sz="1000" b="0" i="0" u="none" strike="noStrike" baseline="0">
              <a:solidFill>
                <a:srgbClr val="000000"/>
              </a:solidFill>
              <a:latin typeface="Arial"/>
              <a:cs typeface="Arial"/>
            </a:rPr>
            <a:t>• Estimating farm profit and loss.</a:t>
          </a:r>
        </a:p>
        <a:p>
          <a:pPr algn="l" rtl="0">
            <a:defRPr sz="1000"/>
          </a:pPr>
          <a:r>
            <a:rPr lang="en-AU" sz="1000" b="0" i="0" u="none" strike="noStrike" baseline="0">
              <a:solidFill>
                <a:srgbClr val="000000"/>
              </a:solidFill>
              <a:latin typeface="Arial"/>
              <a:cs typeface="Arial"/>
            </a:rPr>
            <a:t>• Calculating costs of production.</a:t>
          </a:r>
        </a:p>
        <a:p>
          <a:pPr algn="l" rtl="0">
            <a:defRPr sz="1000"/>
          </a:pPr>
          <a:r>
            <a:rPr lang="en-AU" sz="1000" b="0" i="0" u="none" strike="noStrike" baseline="0">
              <a:solidFill>
                <a:srgbClr val="000000"/>
              </a:solidFill>
              <a:latin typeface="Arial"/>
              <a:cs typeface="Arial"/>
            </a:rPr>
            <a:t>• Assisting with investment decisions (which enterprise? on or off farm?)</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3. Assumptions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Gross Margins is based on the following assumptions: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Fixed or overhead costs are not included.</a:t>
          </a:r>
        </a:p>
        <a:p>
          <a:pPr algn="l" rtl="0">
            <a:defRPr sz="1000"/>
          </a:pPr>
          <a:r>
            <a:rPr lang="en-AU" sz="1000" b="0" i="0" u="none" strike="noStrike" baseline="0">
              <a:solidFill>
                <a:srgbClr val="000000"/>
              </a:solidFill>
              <a:latin typeface="Arial"/>
              <a:cs typeface="Arial"/>
            </a:rPr>
            <a:t>• Owner’s labour is not included.</a:t>
          </a:r>
        </a:p>
        <a:p>
          <a:pPr algn="l" rtl="0">
            <a:defRPr sz="1000"/>
          </a:pPr>
          <a:r>
            <a:rPr lang="en-AU" sz="1000" b="0" i="0" u="none" strike="noStrike" baseline="0">
              <a:solidFill>
                <a:srgbClr val="000000"/>
              </a:solidFill>
              <a:latin typeface="Arial"/>
              <a:cs typeface="Arial"/>
            </a:rPr>
            <a:t>• Casual labour is included, but the hours per hectare that are included can vary widely.</a:t>
          </a:r>
        </a:p>
        <a:p>
          <a:pPr algn="l" rtl="0">
            <a:defRPr sz="1000"/>
          </a:pPr>
          <a:r>
            <a:rPr lang="en-AU" sz="1000" b="0" i="0" u="none" strike="noStrike" baseline="0">
              <a:solidFill>
                <a:srgbClr val="000000"/>
              </a:solidFill>
              <a:latin typeface="Arial"/>
              <a:cs typeface="Arial"/>
            </a:rPr>
            <a:t>• Yields are based on the average for fertilisers, water and chemical inputs.</a:t>
          </a:r>
        </a:p>
        <a:p>
          <a:pPr algn="l" rtl="0">
            <a:defRPr sz="1000"/>
          </a:pPr>
          <a:r>
            <a:rPr lang="en-AU" sz="1000" b="0" i="0" u="none" strike="noStrike" baseline="0">
              <a:solidFill>
                <a:srgbClr val="000000"/>
              </a:solidFill>
              <a:latin typeface="Arial"/>
              <a:cs typeface="Arial"/>
            </a:rPr>
            <a:t>• Machinery operations are costed for a range of tractors that are required to carry out each particular operation. For example,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Discing</a:t>
          </a:r>
          <a:r>
            <a:rPr lang="en-AU" sz="1000" b="0" i="0" u="none" strike="noStrike" baseline="0">
              <a:solidFill>
                <a:srgbClr val="000000"/>
              </a:solidFill>
              <a:latin typeface="Arial"/>
              <a:cs typeface="Arial"/>
            </a:rPr>
            <a:t> - Requires a 100hp Tractor that uses 22.28L/hour and takes approximately 2.5 hours to disc 1 hectare. Therefore,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Fuel Cost per hour - $10.03 (Assuming cost of fuel is 45c/L)</a:t>
          </a:r>
        </a:p>
        <a:p>
          <a:pPr algn="l" rtl="0">
            <a:defRPr sz="1000"/>
          </a:pPr>
          <a:r>
            <a:rPr lang="en-AU" sz="1000" b="0" i="0" u="none" strike="noStrike" baseline="0">
              <a:solidFill>
                <a:srgbClr val="000000"/>
              </a:solidFill>
              <a:latin typeface="Arial"/>
              <a:cs typeface="Arial"/>
            </a:rPr>
            <a:t>                              Oil Cost per hour   - $1.50   (15% of fuel cost)</a:t>
          </a:r>
        </a:p>
        <a:p>
          <a:pPr algn="l" rtl="0">
            <a:defRPr sz="1000"/>
          </a:pPr>
          <a:r>
            <a:rPr lang="en-AU" sz="1000" b="0" i="0" u="none" strike="noStrike" baseline="0">
              <a:solidFill>
                <a:srgbClr val="000000"/>
              </a:solidFill>
              <a:latin typeface="Arial"/>
              <a:cs typeface="Arial"/>
            </a:rPr>
            <a:t>                              Repair and Maintenance per hour - $4.00</a:t>
          </a:r>
        </a:p>
        <a:p>
          <a:pPr algn="l" rtl="0">
            <a:defRPr sz="1000"/>
          </a:pPr>
          <a:r>
            <a:rPr lang="en-AU" sz="1000" b="0" i="0" u="none" strike="noStrike" baseline="0">
              <a:solidFill>
                <a:srgbClr val="000000"/>
              </a:solidFill>
              <a:latin typeface="Arial"/>
              <a:cs typeface="Arial"/>
            </a:rPr>
            <a:t>                              Total Cost per Hectare (x 2.5 hours) - </a:t>
          </a:r>
          <a:r>
            <a:rPr lang="en-AU" sz="1000" b="1" i="0" u="none" strike="noStrike" baseline="0">
              <a:solidFill>
                <a:srgbClr val="000000"/>
              </a:solidFill>
              <a:latin typeface="Arial"/>
              <a:cs typeface="Arial"/>
            </a:rPr>
            <a:t>$38.82</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All machinery operations include fuel, oil, repairs and maintenance (F.O.R.M.). This process is followed for all machinery operation costing. The fixed costs of ownership such as registration, insurance, interest, and depreciation are not included.</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Fertiliser and crop protection costs are envisaged to be ‘typical’ for the region in the average season to produce average yield and quality.</a:t>
          </a:r>
        </a:p>
        <a:p>
          <a:pPr algn="l" rtl="0">
            <a:defRPr sz="1000"/>
          </a:pPr>
          <a:r>
            <a:rPr lang="en-AU" sz="1000" b="0" i="0" u="none" strike="noStrike" baseline="0">
              <a:solidFill>
                <a:srgbClr val="000000"/>
              </a:solidFill>
              <a:latin typeface="Arial"/>
              <a:cs typeface="Arial"/>
            </a:rPr>
            <a:t>• Crops grown with irrigation have been costed accordingly where this is seen to be the most common practice.</a:t>
          </a:r>
        </a:p>
        <a:p>
          <a:pPr algn="l" rtl="0">
            <a:defRPr sz="1000"/>
          </a:pPr>
          <a:r>
            <a:rPr lang="en-AU" sz="1000" b="0" i="0" u="none" strike="noStrike" baseline="0">
              <a:solidFill>
                <a:srgbClr val="000000"/>
              </a:solidFill>
              <a:latin typeface="Arial"/>
              <a:cs typeface="Arial"/>
            </a:rPr>
            <a:t>• Input costs are based on retail prices at the time of preparation.</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4. Using the Template</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Coloured cells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There may be a number of coloured cells in the template provided. The yellow cells indicate where you should enter data. The red cells are locked and secured against tampering. </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Making Data Entries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Data entry in the package is simple. Numbers are entered into the yellow data cells. These figures will be used in formulas to calculate the $/Package and $/Hectare. These will be calculated once the required data has been entered into the appropriate cells. When entering data you can press Enter to store the data in that cell, or simply move the cursor off  that cell.</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Sensitivity Tables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In some of the templates you will find sensitivity tables. One is labelled Yield, and the other Price. You will notice there are yellow cells for data entry. You are able to enter data in these tables so that you might see how price and yield changes will effect the gross margin. These tables can be used as a tool to observe the effect a fall or rise in price and yield might have. High ‘sensitivity’ might refer to a large change in gross margin derived from a small change in price or yield. By knowing the sensitivity you are able to crudely measure some of the risk involved in growing of a certain crop. A crop’s gross margin may be sensitive to one, both or none.  </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5. Some Definitions of Headings Used</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 - Generic term for Cartons, Cases, Trays and Tonnes.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Yield/Ha - Cartons, Cases, Trays or Tonnes produced per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 - Price received, or expected price, per package. Also represents a break up of costs per package.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$/Hectare - Represents the income per hectare, or cost per hectare.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Operations - Number of times a certain farm machinery operation is carried out.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$/Operation - Represents Fuel, Oil, Repairs and Maintenance (F.O.R.M). These </a:t>
          </a:r>
        </a:p>
        <a:p>
          <a:pPr algn="l" rtl="0">
            <a:defRPr sz="1000"/>
          </a:pPr>
          <a:r>
            <a:rPr lang="en-AU" sz="1000" b="0" i="0" u="none" strike="noStrike" baseline="0">
              <a:solidFill>
                <a:srgbClr val="000000"/>
              </a:solidFill>
              <a:latin typeface="Arial"/>
              <a:cs typeface="Arial"/>
            </a:rPr>
            <a:t>individual components provide the running costs of the machinery.</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Units/Ha - Kilograms, Litres or Number used per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$/Unit - Represents cost per kilogram, litre or number.</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Applications - Number of times a chemical is applied to the crop over its life.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ML/Ha - Amount of water in Megalitres used to irrigate the crop over its life.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$/ML - Cost of water used to irrigate crop.</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Hours - Number of man hours required to grow the crop.</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$/Hour - Value of one man hour (casual wages)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Metres - Total length of equipment used on one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$/Metre - Cost per metre of irrigation equipment.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Packages/Hr - The number of cartons, cases, trays or tonnes picked in one man hour.</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$/Pallet - The cost of transporting one pallet to a selected destination. Prices vary depending on wether you require refrigerated transport, or freight can be sent hot.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Pallets - Number of pallets required to transport the yield of one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6. Key Notes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Some trade names are used for the purpose of providing specific information and because growers may be unfamiliar with actual chemical/active ingredient names. Mention of a trade name does not constitute a guarantee, warranty or endorsement by the Department.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Application rates and frequencies are those found to be most commonly applied (at the time the template was prepared) by producers and/or those recommended by chemical producers. Application rates and frequencies are not recommendations by the Department. Producers should seek further advice regarding chemical and fertiliser rates if they have any queries.</a:t>
          </a:r>
        </a:p>
        <a:p>
          <a:pPr algn="l" rtl="0">
            <a:defRPr sz="1000"/>
          </a:pPr>
          <a:endParaRPr lang="en-AU"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showRowColHeaders="0" topLeftCell="A64" workbookViewId="0">
      <selection activeCell="N13" sqref="N13"/>
    </sheetView>
  </sheetViews>
  <sheetFormatPr defaultColWidth="9.109375" defaultRowHeight="13.2" x14ac:dyDescent="0.25"/>
  <cols>
    <col min="1" max="2" width="9.44140625" style="4" customWidth="1"/>
    <col min="3" max="3" width="22.6640625" style="4" customWidth="1"/>
    <col min="4" max="8" width="17.109375" style="30" customWidth="1"/>
    <col min="9" max="16384" width="9.109375" style="4"/>
  </cols>
  <sheetData>
    <row r="1" spans="1:8" x14ac:dyDescent="0.25">
      <c r="A1" s="1" t="s">
        <v>43</v>
      </c>
      <c r="C1" s="2"/>
      <c r="D1" s="3"/>
      <c r="F1" s="3"/>
      <c r="G1" s="83" t="s">
        <v>68</v>
      </c>
    </row>
    <row r="2" spans="1:8" x14ac:dyDescent="0.25">
      <c r="A2" s="12" t="s">
        <v>44</v>
      </c>
      <c r="B2" s="2"/>
      <c r="C2" s="2"/>
      <c r="D2" s="3"/>
      <c r="E2" s="3"/>
      <c r="F2" s="3"/>
      <c r="G2" s="2" t="s">
        <v>80</v>
      </c>
      <c r="H2" s="3"/>
    </row>
    <row r="3" spans="1:8" x14ac:dyDescent="0.25">
      <c r="A3" s="5" t="s">
        <v>0</v>
      </c>
      <c r="B3" s="6"/>
      <c r="C3" s="6"/>
      <c r="D3" s="73" t="s">
        <v>45</v>
      </c>
      <c r="E3" s="74"/>
      <c r="F3" s="75" t="s">
        <v>46</v>
      </c>
      <c r="G3" s="74"/>
      <c r="H3" s="76" t="s">
        <v>1</v>
      </c>
    </row>
    <row r="4" spans="1:8" x14ac:dyDescent="0.25">
      <c r="A4" s="25"/>
      <c r="B4" s="26"/>
      <c r="C4" s="26" t="s">
        <v>47</v>
      </c>
      <c r="D4" s="77">
        <v>12</v>
      </c>
      <c r="E4" s="78"/>
      <c r="F4" s="79">
        <v>13.22</v>
      </c>
      <c r="G4" s="78"/>
      <c r="H4" s="63">
        <f>(D4*185*F4)</f>
        <v>29348.400000000001</v>
      </c>
    </row>
    <row r="5" spans="1:8" x14ac:dyDescent="0.25">
      <c r="A5" s="2" t="s">
        <v>20</v>
      </c>
      <c r="B5" s="2"/>
      <c r="C5" s="2"/>
      <c r="D5" s="3"/>
      <c r="E5" s="3"/>
      <c r="F5" s="3"/>
      <c r="G5" s="3"/>
      <c r="H5" s="3"/>
    </row>
    <row r="6" spans="1:8" x14ac:dyDescent="0.25">
      <c r="A6" s="5" t="s">
        <v>2</v>
      </c>
      <c r="B6" s="6"/>
      <c r="C6" s="6"/>
      <c r="D6" s="7"/>
      <c r="E6" s="7"/>
      <c r="F6" s="7"/>
      <c r="G6" s="7"/>
      <c r="H6" s="64"/>
    </row>
    <row r="7" spans="1:8" x14ac:dyDescent="0.25">
      <c r="A7" s="8"/>
      <c r="B7" s="2"/>
      <c r="C7" s="2"/>
      <c r="D7" s="9" t="s">
        <v>3</v>
      </c>
      <c r="E7" s="10" t="s">
        <v>4</v>
      </c>
      <c r="F7" s="3"/>
      <c r="G7" s="9" t="s">
        <v>48</v>
      </c>
      <c r="H7" s="10" t="s">
        <v>1</v>
      </c>
    </row>
    <row r="8" spans="1:8" x14ac:dyDescent="0.25">
      <c r="A8" s="11" t="s">
        <v>5</v>
      </c>
      <c r="B8" s="12"/>
      <c r="C8" s="85" t="s">
        <v>69</v>
      </c>
      <c r="D8" s="13">
        <v>1</v>
      </c>
      <c r="E8" s="17">
        <v>400</v>
      </c>
      <c r="F8" s="3"/>
      <c r="G8" s="14">
        <f>H8/185</f>
        <v>2.1621621621621623</v>
      </c>
      <c r="H8" s="15">
        <f>(D8*E8)</f>
        <v>400</v>
      </c>
    </row>
    <row r="9" spans="1:8" x14ac:dyDescent="0.25">
      <c r="A9" s="16" t="s">
        <v>6</v>
      </c>
      <c r="B9" s="12"/>
      <c r="C9" s="85"/>
      <c r="D9" s="13">
        <v>0</v>
      </c>
      <c r="E9" s="17">
        <v>0</v>
      </c>
      <c r="F9" s="3"/>
      <c r="G9" s="14">
        <f t="shared" ref="G9:G39" si="0">H9/185</f>
        <v>0</v>
      </c>
      <c r="H9" s="15">
        <f>(D9*E9)</f>
        <v>0</v>
      </c>
    </row>
    <row r="10" spans="1:8" x14ac:dyDescent="0.25">
      <c r="A10" s="16" t="s">
        <v>20</v>
      </c>
      <c r="B10" s="12"/>
      <c r="C10" s="85"/>
      <c r="D10" s="22">
        <v>0</v>
      </c>
      <c r="E10" s="18">
        <v>0</v>
      </c>
      <c r="F10" s="3"/>
      <c r="G10" s="14">
        <f t="shared" si="0"/>
        <v>0</v>
      </c>
      <c r="H10" s="15">
        <f>D10*E10</f>
        <v>0</v>
      </c>
    </row>
    <row r="11" spans="1:8" x14ac:dyDescent="0.25">
      <c r="A11" s="8"/>
      <c r="B11" s="2"/>
      <c r="C11" s="2"/>
      <c r="D11" s="3"/>
      <c r="E11" s="3"/>
      <c r="F11" s="3"/>
      <c r="G11" s="14" t="s">
        <v>20</v>
      </c>
      <c r="H11" s="15"/>
    </row>
    <row r="12" spans="1:8" x14ac:dyDescent="0.25">
      <c r="A12" s="8"/>
      <c r="B12" s="2"/>
      <c r="C12" s="2"/>
      <c r="D12" s="9" t="s">
        <v>49</v>
      </c>
      <c r="E12" s="10" t="s">
        <v>7</v>
      </c>
      <c r="F12" s="3"/>
      <c r="G12" s="14" t="s">
        <v>20</v>
      </c>
      <c r="H12" s="15"/>
    </row>
    <row r="13" spans="1:8" x14ac:dyDescent="0.25">
      <c r="A13" s="11" t="s">
        <v>8</v>
      </c>
      <c r="B13" s="2"/>
      <c r="C13" s="85" t="s">
        <v>50</v>
      </c>
      <c r="D13" s="13">
        <v>2</v>
      </c>
      <c r="E13" s="17">
        <v>1.07</v>
      </c>
      <c r="F13" s="3"/>
      <c r="G13" s="14">
        <f t="shared" si="0"/>
        <v>2.14</v>
      </c>
      <c r="H13" s="15">
        <f>D13*E13*185</f>
        <v>395.90000000000003</v>
      </c>
    </row>
    <row r="14" spans="1:8" x14ac:dyDescent="0.25">
      <c r="A14" s="8"/>
      <c r="B14" s="2"/>
      <c r="C14" s="85" t="s">
        <v>42</v>
      </c>
      <c r="D14" s="13">
        <v>1.6E-2</v>
      </c>
      <c r="E14" s="17">
        <v>3.2</v>
      </c>
      <c r="F14" s="3"/>
      <c r="G14" s="14">
        <f t="shared" si="0"/>
        <v>5.1200000000000009E-2</v>
      </c>
      <c r="H14" s="15">
        <f>D14*E14*185</f>
        <v>9.4720000000000013</v>
      </c>
    </row>
    <row r="15" spans="1:8" x14ac:dyDescent="0.25">
      <c r="A15" s="8"/>
      <c r="B15" s="2"/>
      <c r="C15" s="85" t="s">
        <v>70</v>
      </c>
      <c r="D15" s="13">
        <v>0.5</v>
      </c>
      <c r="E15" s="17">
        <v>1.94</v>
      </c>
      <c r="F15" s="3"/>
      <c r="G15" s="14">
        <f t="shared" si="0"/>
        <v>0.97</v>
      </c>
      <c r="H15" s="15">
        <f>D15*E15*185</f>
        <v>179.45</v>
      </c>
    </row>
    <row r="16" spans="1:8" x14ac:dyDescent="0.25">
      <c r="A16" s="8"/>
      <c r="B16" s="2"/>
      <c r="C16" s="85"/>
      <c r="D16" s="13">
        <v>0</v>
      </c>
      <c r="E16" s="17">
        <v>0</v>
      </c>
      <c r="F16" s="3"/>
      <c r="G16" s="14">
        <f t="shared" si="0"/>
        <v>0</v>
      </c>
      <c r="H16" s="15">
        <f>D16*E16*185</f>
        <v>0</v>
      </c>
    </row>
    <row r="17" spans="1:8" x14ac:dyDescent="0.25">
      <c r="A17" s="8"/>
      <c r="B17" s="12" t="s">
        <v>20</v>
      </c>
      <c r="C17" s="85"/>
      <c r="D17" s="22">
        <v>0</v>
      </c>
      <c r="E17" s="18">
        <v>0</v>
      </c>
      <c r="F17" s="3"/>
      <c r="G17" s="14">
        <f t="shared" si="0"/>
        <v>0</v>
      </c>
      <c r="H17" s="15">
        <f>D17*E17*185</f>
        <v>0</v>
      </c>
    </row>
    <row r="18" spans="1:8" x14ac:dyDescent="0.25">
      <c r="A18" s="8"/>
      <c r="B18" s="12"/>
      <c r="C18" s="2"/>
      <c r="D18" s="33"/>
      <c r="E18" s="34"/>
      <c r="F18" s="3"/>
      <c r="G18" s="14" t="s">
        <v>20</v>
      </c>
      <c r="H18" s="15" t="s">
        <v>20</v>
      </c>
    </row>
    <row r="19" spans="1:8" x14ac:dyDescent="0.25">
      <c r="A19" s="20" t="s">
        <v>51</v>
      </c>
      <c r="B19" s="12"/>
      <c r="C19" s="2"/>
      <c r="D19" s="80" t="s">
        <v>52</v>
      </c>
      <c r="E19" s="81" t="s">
        <v>53</v>
      </c>
      <c r="F19" s="3"/>
      <c r="G19" s="14" t="s">
        <v>20</v>
      </c>
      <c r="H19" s="15" t="s">
        <v>20</v>
      </c>
    </row>
    <row r="20" spans="1:8" x14ac:dyDescent="0.25">
      <c r="A20" s="8"/>
      <c r="B20" s="12"/>
      <c r="C20" s="2"/>
      <c r="D20" s="23">
        <v>0</v>
      </c>
      <c r="E20" s="24">
        <v>0</v>
      </c>
      <c r="F20" s="3"/>
      <c r="G20" s="14">
        <f t="shared" si="0"/>
        <v>0</v>
      </c>
      <c r="H20" s="15">
        <f>IF(D20=0,0,(185/D20)*E20)</f>
        <v>0</v>
      </c>
    </row>
    <row r="21" spans="1:8" x14ac:dyDescent="0.25">
      <c r="A21" s="8"/>
      <c r="B21" s="2"/>
      <c r="C21" s="2"/>
      <c r="D21" s="3"/>
      <c r="E21" s="3"/>
      <c r="F21" s="3"/>
      <c r="G21" s="14" t="s">
        <v>20</v>
      </c>
      <c r="H21" s="15"/>
    </row>
    <row r="22" spans="1:8" x14ac:dyDescent="0.25">
      <c r="A22" s="8"/>
      <c r="B22" s="2"/>
      <c r="C22" s="2"/>
      <c r="D22" s="9" t="s">
        <v>9</v>
      </c>
      <c r="E22" s="10" t="s">
        <v>54</v>
      </c>
      <c r="F22" s="19" t="s">
        <v>10</v>
      </c>
      <c r="G22" s="14" t="s">
        <v>20</v>
      </c>
      <c r="H22" s="15"/>
    </row>
    <row r="23" spans="1:8" x14ac:dyDescent="0.25">
      <c r="A23" s="20" t="s">
        <v>11</v>
      </c>
      <c r="B23" s="2"/>
      <c r="C23" s="85" t="s">
        <v>76</v>
      </c>
      <c r="D23" s="13">
        <v>3</v>
      </c>
      <c r="E23" s="86">
        <v>0.03</v>
      </c>
      <c r="F23" s="65">
        <v>9.75</v>
      </c>
      <c r="G23" s="14">
        <f t="shared" si="0"/>
        <v>0.87749999999999984</v>
      </c>
      <c r="H23" s="15">
        <f>D23*E23*F23*185</f>
        <v>162.33749999999998</v>
      </c>
    </row>
    <row r="24" spans="1:8" x14ac:dyDescent="0.25">
      <c r="A24" s="8"/>
      <c r="B24" s="2"/>
      <c r="C24" s="85"/>
      <c r="D24" s="21">
        <v>0</v>
      </c>
      <c r="E24" s="86">
        <v>0</v>
      </c>
      <c r="F24" s="84">
        <v>0</v>
      </c>
      <c r="G24" s="14">
        <f t="shared" si="0"/>
        <v>0</v>
      </c>
      <c r="H24" s="15">
        <f t="shared" ref="H24:H33" si="1">D24*E24*F24*185</f>
        <v>0</v>
      </c>
    </row>
    <row r="25" spans="1:8" x14ac:dyDescent="0.25">
      <c r="A25" s="8"/>
      <c r="B25" s="2"/>
      <c r="C25" s="85"/>
      <c r="D25" s="21">
        <v>0</v>
      </c>
      <c r="E25" s="86">
        <v>0</v>
      </c>
      <c r="F25" s="84">
        <v>0</v>
      </c>
      <c r="G25" s="14">
        <f t="shared" si="0"/>
        <v>0</v>
      </c>
      <c r="H25" s="15">
        <f t="shared" si="1"/>
        <v>0</v>
      </c>
    </row>
    <row r="26" spans="1:8" x14ac:dyDescent="0.25">
      <c r="A26" s="20" t="s">
        <v>12</v>
      </c>
      <c r="B26" s="2"/>
      <c r="C26" s="85" t="s">
        <v>71</v>
      </c>
      <c r="D26" s="13">
        <v>1</v>
      </c>
      <c r="E26" s="86">
        <v>0.02</v>
      </c>
      <c r="F26" s="65">
        <v>24.6</v>
      </c>
      <c r="G26" s="14">
        <f t="shared" si="0"/>
        <v>0.49200000000000005</v>
      </c>
      <c r="H26" s="15">
        <f t="shared" si="1"/>
        <v>91.02000000000001</v>
      </c>
    </row>
    <row r="27" spans="1:8" x14ac:dyDescent="0.25">
      <c r="A27" s="8"/>
      <c r="B27" s="2"/>
      <c r="C27" s="85" t="s">
        <v>72</v>
      </c>
      <c r="D27" s="13">
        <v>3</v>
      </c>
      <c r="E27" s="86">
        <v>1</v>
      </c>
      <c r="F27" s="65">
        <v>4.6900000000000004</v>
      </c>
      <c r="G27" s="14">
        <f t="shared" si="0"/>
        <v>14.070000000000002</v>
      </c>
      <c r="H27" s="15">
        <f t="shared" si="1"/>
        <v>2602.9500000000003</v>
      </c>
    </row>
    <row r="28" spans="1:8" x14ac:dyDescent="0.25">
      <c r="A28" s="8"/>
      <c r="B28" s="2"/>
      <c r="C28" s="85" t="s">
        <v>73</v>
      </c>
      <c r="D28" s="13">
        <v>2</v>
      </c>
      <c r="E28" s="86">
        <v>0.01</v>
      </c>
      <c r="F28" s="65">
        <v>9.18</v>
      </c>
      <c r="G28" s="14">
        <f t="shared" si="0"/>
        <v>0.18359999999999996</v>
      </c>
      <c r="H28" s="15">
        <f t="shared" si="1"/>
        <v>33.965999999999994</v>
      </c>
    </row>
    <row r="29" spans="1:8" x14ac:dyDescent="0.25">
      <c r="A29" s="8"/>
      <c r="B29" s="2"/>
      <c r="C29" s="85" t="s">
        <v>74</v>
      </c>
      <c r="D29" s="13">
        <v>2</v>
      </c>
      <c r="E29" s="86">
        <v>0.02</v>
      </c>
      <c r="F29" s="65">
        <v>13.53</v>
      </c>
      <c r="G29" s="14">
        <f t="shared" si="0"/>
        <v>0.54120000000000001</v>
      </c>
      <c r="H29" s="15">
        <f t="shared" si="1"/>
        <v>100.122</v>
      </c>
    </row>
    <row r="30" spans="1:8" x14ac:dyDescent="0.25">
      <c r="A30" s="8"/>
      <c r="B30" s="2"/>
      <c r="C30" s="85" t="s">
        <v>75</v>
      </c>
      <c r="D30" s="13">
        <v>1</v>
      </c>
      <c r="E30" s="86">
        <v>0.02</v>
      </c>
      <c r="F30" s="65">
        <v>13.53</v>
      </c>
      <c r="G30" s="14">
        <f>H30/185</f>
        <v>0.27060000000000001</v>
      </c>
      <c r="H30" s="15">
        <f>D30*E30*F30*185</f>
        <v>50.061</v>
      </c>
    </row>
    <row r="31" spans="1:8" x14ac:dyDescent="0.25">
      <c r="A31" s="20" t="s">
        <v>13</v>
      </c>
      <c r="B31" s="2"/>
      <c r="C31" s="85" t="s">
        <v>77</v>
      </c>
      <c r="D31" s="13">
        <v>4</v>
      </c>
      <c r="E31" s="86">
        <v>2.7E-2</v>
      </c>
      <c r="F31" s="65">
        <v>8.67</v>
      </c>
      <c r="G31" s="14">
        <f t="shared" si="0"/>
        <v>0.93635999999999997</v>
      </c>
      <c r="H31" s="15">
        <f t="shared" si="1"/>
        <v>173.22659999999999</v>
      </c>
    </row>
    <row r="32" spans="1:8" x14ac:dyDescent="0.25">
      <c r="A32" s="8"/>
      <c r="B32" s="2"/>
      <c r="C32" s="85" t="s">
        <v>78</v>
      </c>
      <c r="D32" s="13">
        <v>2</v>
      </c>
      <c r="E32" s="86">
        <v>2.5899999999999999E-3</v>
      </c>
      <c r="F32" s="65">
        <v>180.4</v>
      </c>
      <c r="G32" s="14">
        <f t="shared" si="0"/>
        <v>0.93447199999999997</v>
      </c>
      <c r="H32" s="15">
        <f t="shared" si="1"/>
        <v>172.87732</v>
      </c>
    </row>
    <row r="33" spans="1:8" x14ac:dyDescent="0.25">
      <c r="A33" s="8"/>
      <c r="B33" s="2"/>
      <c r="C33" s="85" t="s">
        <v>79</v>
      </c>
      <c r="D33" s="22">
        <v>6</v>
      </c>
      <c r="E33" s="87">
        <v>2.7E-2</v>
      </c>
      <c r="F33" s="71">
        <v>6.89</v>
      </c>
      <c r="G33" s="14">
        <f t="shared" si="0"/>
        <v>1.1161799999999999</v>
      </c>
      <c r="H33" s="15">
        <f t="shared" si="1"/>
        <v>206.49329999999998</v>
      </c>
    </row>
    <row r="34" spans="1:8" x14ac:dyDescent="0.25">
      <c r="A34" s="8"/>
      <c r="B34" s="2"/>
      <c r="C34" s="2"/>
      <c r="D34" s="3"/>
      <c r="E34" s="3"/>
      <c r="F34" s="3"/>
      <c r="G34" s="14" t="s">
        <v>20</v>
      </c>
      <c r="H34" s="15" t="s">
        <v>20</v>
      </c>
    </row>
    <row r="35" spans="1:8" x14ac:dyDescent="0.25">
      <c r="A35" s="8"/>
      <c r="B35" s="2"/>
      <c r="C35" s="2"/>
      <c r="D35" s="9" t="s">
        <v>14</v>
      </c>
      <c r="E35" s="10" t="s">
        <v>15</v>
      </c>
      <c r="F35" s="3"/>
      <c r="G35" s="14" t="s">
        <v>20</v>
      </c>
      <c r="H35" s="15"/>
    </row>
    <row r="36" spans="1:8" x14ac:dyDescent="0.25">
      <c r="A36" s="20" t="s">
        <v>16</v>
      </c>
      <c r="B36" s="2"/>
      <c r="C36" s="2"/>
      <c r="D36" s="22">
        <v>3</v>
      </c>
      <c r="E36" s="18">
        <v>4.5</v>
      </c>
      <c r="F36" s="3"/>
      <c r="G36" s="14">
        <f t="shared" si="0"/>
        <v>7.2972972972972977E-2</v>
      </c>
      <c r="H36" s="15">
        <f>D36*E36</f>
        <v>13.5</v>
      </c>
    </row>
    <row r="37" spans="1:8" x14ac:dyDescent="0.25">
      <c r="A37" s="8"/>
      <c r="B37" s="2"/>
      <c r="C37" s="2"/>
      <c r="D37" s="3"/>
      <c r="E37" s="3"/>
      <c r="F37" s="3"/>
      <c r="G37" s="14" t="s">
        <v>20</v>
      </c>
      <c r="H37" s="15"/>
    </row>
    <row r="38" spans="1:8" x14ac:dyDescent="0.25">
      <c r="A38" s="8"/>
      <c r="B38" s="2"/>
      <c r="C38" s="2"/>
      <c r="D38" s="10" t="s">
        <v>17</v>
      </c>
      <c r="E38" s="10" t="s">
        <v>18</v>
      </c>
      <c r="F38" s="3"/>
      <c r="G38" s="14" t="s">
        <v>20</v>
      </c>
      <c r="H38" s="15"/>
    </row>
    <row r="39" spans="1:8" x14ac:dyDescent="0.25">
      <c r="A39" s="20" t="s">
        <v>19</v>
      </c>
      <c r="B39" s="2"/>
      <c r="C39" s="2"/>
      <c r="D39" s="23">
        <v>73</v>
      </c>
      <c r="E39" s="24">
        <v>20</v>
      </c>
      <c r="F39" s="3"/>
      <c r="G39" s="14">
        <f t="shared" si="0"/>
        <v>7.8918918918918921</v>
      </c>
      <c r="H39" s="15">
        <f>D39*E39</f>
        <v>1460</v>
      </c>
    </row>
    <row r="40" spans="1:8" x14ac:dyDescent="0.25">
      <c r="A40" s="8"/>
      <c r="B40" s="2"/>
      <c r="C40" s="2"/>
      <c r="D40" s="3"/>
      <c r="E40" s="3"/>
      <c r="F40" s="3"/>
      <c r="G40" s="14" t="s">
        <v>20</v>
      </c>
      <c r="H40" s="15" t="s">
        <v>20</v>
      </c>
    </row>
    <row r="41" spans="1:8" x14ac:dyDescent="0.25">
      <c r="A41" s="8"/>
      <c r="B41" s="2"/>
      <c r="C41" s="2"/>
      <c r="D41" s="3"/>
      <c r="E41" s="3"/>
      <c r="F41" s="3"/>
      <c r="G41" s="66"/>
      <c r="H41" s="67"/>
    </row>
    <row r="42" spans="1:8" x14ac:dyDescent="0.25">
      <c r="A42" s="25" t="s">
        <v>21</v>
      </c>
      <c r="B42" s="26"/>
      <c r="C42" s="26"/>
      <c r="D42" s="27"/>
      <c r="E42" s="27"/>
      <c r="F42" s="27"/>
      <c r="G42" s="28">
        <f>SUM(G8:G39)</f>
        <v>32.710139027027033</v>
      </c>
      <c r="H42" s="29">
        <f>SUM(H8:H40)</f>
        <v>6051.37572</v>
      </c>
    </row>
    <row r="44" spans="1:8" x14ac:dyDescent="0.25">
      <c r="A44" s="5" t="s">
        <v>22</v>
      </c>
      <c r="B44" s="6"/>
      <c r="C44" s="6"/>
      <c r="D44" s="7"/>
      <c r="E44" s="7"/>
      <c r="F44" s="7"/>
      <c r="G44" s="7"/>
      <c r="H44" s="64"/>
    </row>
    <row r="45" spans="1:8" x14ac:dyDescent="0.25">
      <c r="A45" s="8"/>
      <c r="B45" s="2"/>
      <c r="C45" s="2"/>
      <c r="D45" s="9" t="s">
        <v>55</v>
      </c>
      <c r="E45" s="10" t="s">
        <v>23</v>
      </c>
      <c r="F45" s="3"/>
      <c r="G45" s="9" t="s">
        <v>56</v>
      </c>
      <c r="H45" s="10" t="s">
        <v>1</v>
      </c>
    </row>
    <row r="46" spans="1:8" x14ac:dyDescent="0.25">
      <c r="A46" s="20" t="s">
        <v>24</v>
      </c>
      <c r="B46" s="2"/>
      <c r="C46" s="2" t="s">
        <v>41</v>
      </c>
      <c r="D46" s="13">
        <v>8</v>
      </c>
      <c r="E46" s="17">
        <v>20</v>
      </c>
      <c r="F46" s="3"/>
      <c r="G46" s="31">
        <f>E46/D46</f>
        <v>2.5</v>
      </c>
      <c r="H46" s="32">
        <f>($D$4*G46)*185</f>
        <v>5550</v>
      </c>
    </row>
    <row r="47" spans="1:8" x14ac:dyDescent="0.25">
      <c r="A47" s="8"/>
      <c r="B47" s="2"/>
      <c r="C47" s="2" t="s">
        <v>25</v>
      </c>
      <c r="D47" s="22">
        <v>10</v>
      </c>
      <c r="E47" s="18">
        <v>20</v>
      </c>
      <c r="F47" s="3"/>
      <c r="G47" s="31">
        <f>E47/D47</f>
        <v>2</v>
      </c>
      <c r="H47" s="32">
        <f>($D$4*G47)*185</f>
        <v>4440</v>
      </c>
    </row>
    <row r="48" spans="1:8" x14ac:dyDescent="0.25">
      <c r="A48" s="8"/>
      <c r="B48" s="2"/>
      <c r="C48" s="2" t="s">
        <v>57</v>
      </c>
      <c r="D48" s="33"/>
      <c r="E48" s="34"/>
      <c r="F48" s="3"/>
      <c r="G48" s="31">
        <f>H48/($D$4*185)</f>
        <v>0.125</v>
      </c>
      <c r="H48" s="68">
        <v>277.5</v>
      </c>
    </row>
    <row r="49" spans="1:8" x14ac:dyDescent="0.25">
      <c r="A49" s="8"/>
      <c r="B49" s="2"/>
      <c r="C49" s="2" t="s">
        <v>58</v>
      </c>
      <c r="D49" s="33"/>
      <c r="E49" s="34"/>
      <c r="F49" s="3"/>
      <c r="G49" s="31">
        <f>H49/($D$4*185)</f>
        <v>6.25E-2</v>
      </c>
      <c r="H49" s="82">
        <v>138.75</v>
      </c>
    </row>
    <row r="50" spans="1:8" x14ac:dyDescent="0.25">
      <c r="A50" s="8"/>
      <c r="B50" s="2"/>
      <c r="C50" s="2" t="s">
        <v>59</v>
      </c>
      <c r="D50" s="33"/>
      <c r="E50" s="34"/>
      <c r="F50" s="3"/>
      <c r="G50" s="31">
        <f>H50/($D$4*185)</f>
        <v>0.05</v>
      </c>
      <c r="H50" s="69">
        <v>111</v>
      </c>
    </row>
    <row r="51" spans="1:8" x14ac:dyDescent="0.25">
      <c r="A51" s="8"/>
      <c r="B51" s="2"/>
      <c r="C51" s="2" t="s">
        <v>60</v>
      </c>
      <c r="D51" s="33"/>
      <c r="E51" s="34"/>
      <c r="F51" s="3"/>
      <c r="G51" s="35">
        <v>1.47</v>
      </c>
      <c r="H51" s="32">
        <f>G51*(D4*185)</f>
        <v>3263.4</v>
      </c>
    </row>
    <row r="52" spans="1:8" x14ac:dyDescent="0.25">
      <c r="A52" s="8"/>
      <c r="B52" s="2"/>
      <c r="C52" s="2" t="s">
        <v>61</v>
      </c>
      <c r="D52" s="33"/>
      <c r="E52" s="34"/>
      <c r="F52" s="3"/>
      <c r="G52" s="31">
        <f>H52/($D$4*185)</f>
        <v>0.25</v>
      </c>
      <c r="H52" s="68">
        <v>555</v>
      </c>
    </row>
    <row r="53" spans="1:8" x14ac:dyDescent="0.25">
      <c r="A53" s="8"/>
      <c r="B53" s="2"/>
      <c r="C53" s="2"/>
      <c r="D53" s="3"/>
      <c r="E53" s="3"/>
      <c r="F53" s="3"/>
      <c r="G53" s="66"/>
      <c r="H53" s="67"/>
    </row>
    <row r="54" spans="1:8" x14ac:dyDescent="0.25">
      <c r="A54" s="25" t="s">
        <v>26</v>
      </c>
      <c r="B54" s="26"/>
      <c r="C54" s="26"/>
      <c r="D54" s="27"/>
      <c r="E54" s="27"/>
      <c r="F54" s="27"/>
      <c r="G54" s="28">
        <f>SUM(G46:G52)</f>
        <v>6.4574999999999996</v>
      </c>
      <c r="H54" s="29">
        <f>SUM(H46:H52)</f>
        <v>14335.65</v>
      </c>
    </row>
    <row r="56" spans="1:8" x14ac:dyDescent="0.25">
      <c r="A56" s="5" t="s">
        <v>27</v>
      </c>
      <c r="B56" s="6"/>
      <c r="C56" s="6"/>
      <c r="D56" s="7"/>
      <c r="E56" s="7"/>
      <c r="F56" s="7"/>
      <c r="G56" s="7"/>
      <c r="H56" s="64"/>
    </row>
    <row r="57" spans="1:8" x14ac:dyDescent="0.25">
      <c r="A57" s="8"/>
      <c r="B57" s="2"/>
      <c r="C57" s="2"/>
      <c r="D57" s="9" t="s">
        <v>28</v>
      </c>
      <c r="E57" s="10" t="s">
        <v>29</v>
      </c>
      <c r="F57" s="3"/>
      <c r="G57" s="9" t="s">
        <v>56</v>
      </c>
      <c r="H57" s="10" t="s">
        <v>1</v>
      </c>
    </row>
    <row r="58" spans="1:8" x14ac:dyDescent="0.25">
      <c r="A58" s="20" t="s">
        <v>30</v>
      </c>
      <c r="B58" s="2"/>
      <c r="C58" s="2" t="s">
        <v>62</v>
      </c>
      <c r="D58" s="36">
        <v>115</v>
      </c>
      <c r="E58" s="72">
        <f>ROUNDUP((D4*185)/128,0)</f>
        <v>18</v>
      </c>
      <c r="F58" s="3"/>
      <c r="G58" s="32">
        <f>H58/(185*$D$4)</f>
        <v>0.93243243243243246</v>
      </c>
      <c r="H58" s="37">
        <f>(D58*E58)</f>
        <v>2070</v>
      </c>
    </row>
    <row r="59" spans="1:8" x14ac:dyDescent="0.25">
      <c r="A59" s="8"/>
      <c r="B59" s="2"/>
      <c r="C59" s="2"/>
      <c r="D59" s="3"/>
      <c r="E59" s="3"/>
      <c r="F59" s="3"/>
      <c r="G59" s="32" t="s">
        <v>20</v>
      </c>
      <c r="H59" s="37" t="s">
        <v>20</v>
      </c>
    </row>
    <row r="60" spans="1:8" x14ac:dyDescent="0.25">
      <c r="A60" s="20" t="s">
        <v>31</v>
      </c>
      <c r="B60" s="2"/>
      <c r="C60" s="2"/>
      <c r="D60" s="70">
        <v>0.125</v>
      </c>
      <c r="E60" s="34"/>
      <c r="F60" s="3"/>
      <c r="G60" s="32">
        <f>H60/(185*$D$4)</f>
        <v>1.6525000000000001</v>
      </c>
      <c r="H60" s="32">
        <f>($H$4*$D$60)</f>
        <v>3668.55</v>
      </c>
    </row>
    <row r="61" spans="1:8" x14ac:dyDescent="0.25">
      <c r="A61" s="20" t="s">
        <v>32</v>
      </c>
      <c r="B61" s="2"/>
      <c r="C61" s="2"/>
      <c r="D61" s="38">
        <v>0.1</v>
      </c>
      <c r="E61" s="3" t="s">
        <v>33</v>
      </c>
      <c r="F61" s="3"/>
      <c r="G61" s="32">
        <f>H61/(185*$D$4)</f>
        <v>0.1</v>
      </c>
      <c r="H61" s="37">
        <f>($D$4*185*D61)</f>
        <v>222</v>
      </c>
    </row>
    <row r="62" spans="1:8" x14ac:dyDescent="0.25">
      <c r="A62" s="8"/>
      <c r="B62" s="2"/>
      <c r="C62" s="2"/>
      <c r="D62" s="3"/>
      <c r="E62" s="3"/>
      <c r="F62" s="3"/>
      <c r="G62" s="39"/>
      <c r="H62" s="40"/>
    </row>
    <row r="63" spans="1:8" x14ac:dyDescent="0.25">
      <c r="A63" s="25" t="s">
        <v>34</v>
      </c>
      <c r="B63" s="26"/>
      <c r="C63" s="26"/>
      <c r="D63" s="27"/>
      <c r="E63" s="27"/>
      <c r="F63" s="27"/>
      <c r="G63" s="41">
        <f>SUM(G58:G61)</f>
        <v>2.6849324324324324</v>
      </c>
      <c r="H63" s="42">
        <f>SUM(H58:H61)</f>
        <v>5960.55</v>
      </c>
    </row>
    <row r="65" spans="1:8" x14ac:dyDescent="0.25">
      <c r="A65" s="43" t="s">
        <v>35</v>
      </c>
      <c r="D65" s="2"/>
      <c r="E65" s="2"/>
      <c r="F65" s="3"/>
      <c r="G65" s="10" t="s">
        <v>56</v>
      </c>
      <c r="H65" s="44" t="s">
        <v>1</v>
      </c>
    </row>
    <row r="66" spans="1:8" x14ac:dyDescent="0.25">
      <c r="D66" s="90" t="s">
        <v>63</v>
      </c>
      <c r="E66" s="90"/>
      <c r="F66" s="90"/>
      <c r="G66" s="45">
        <f>G42/D4</f>
        <v>2.7258449189189196</v>
      </c>
      <c r="H66" s="46">
        <f>H42</f>
        <v>6051.37572</v>
      </c>
    </row>
    <row r="67" spans="1:8" x14ac:dyDescent="0.25">
      <c r="A67" s="47"/>
      <c r="D67" s="90" t="s">
        <v>64</v>
      </c>
      <c r="E67" s="90"/>
      <c r="F67" s="90"/>
      <c r="G67" s="45">
        <f>G54</f>
        <v>6.4574999999999996</v>
      </c>
      <c r="H67" s="46">
        <f>H54</f>
        <v>14335.65</v>
      </c>
    </row>
    <row r="68" spans="1:8" x14ac:dyDescent="0.25">
      <c r="A68" s="47"/>
      <c r="D68" s="90" t="s">
        <v>34</v>
      </c>
      <c r="E68" s="90"/>
      <c r="F68" s="90"/>
      <c r="G68" s="45">
        <f>G63</f>
        <v>2.6849324324324324</v>
      </c>
      <c r="H68" s="46">
        <f>H63</f>
        <v>5960.55</v>
      </c>
    </row>
    <row r="69" spans="1:8" x14ac:dyDescent="0.25">
      <c r="A69" s="47"/>
      <c r="D69" s="90" t="s">
        <v>65</v>
      </c>
      <c r="E69" s="90"/>
      <c r="F69" s="90"/>
      <c r="G69" s="45">
        <f>(H69/185)/D4</f>
        <v>11.868277351351351</v>
      </c>
      <c r="H69" s="46">
        <f>H66+H67+H68</f>
        <v>26347.575719999997</v>
      </c>
    </row>
    <row r="70" spans="1:8" x14ac:dyDescent="0.25">
      <c r="A70" s="47"/>
      <c r="D70" s="89" t="s">
        <v>66</v>
      </c>
      <c r="E70" s="89"/>
      <c r="F70" s="89"/>
      <c r="G70" s="48">
        <f>F4-G69</f>
        <v>1.35172264864865</v>
      </c>
      <c r="H70" s="49">
        <f>H4-H69</f>
        <v>3000.8242800000044</v>
      </c>
    </row>
    <row r="71" spans="1:8" x14ac:dyDescent="0.25">
      <c r="C71" s="50"/>
      <c r="F71" s="50"/>
      <c r="G71" s="50"/>
      <c r="H71" s="50"/>
    </row>
    <row r="72" spans="1:8" x14ac:dyDescent="0.25">
      <c r="A72" s="43" t="s">
        <v>67</v>
      </c>
      <c r="F72" s="4"/>
      <c r="G72" s="4"/>
      <c r="H72" s="4"/>
    </row>
    <row r="73" spans="1:8" x14ac:dyDescent="0.25">
      <c r="E73" s="51" t="s">
        <v>56</v>
      </c>
      <c r="F73" s="52" t="s">
        <v>36</v>
      </c>
      <c r="G73" s="52" t="s">
        <v>37</v>
      </c>
      <c r="H73" s="53" t="s">
        <v>36</v>
      </c>
    </row>
    <row r="74" spans="1:8" x14ac:dyDescent="0.25">
      <c r="E74" s="54"/>
      <c r="F74" s="55" t="s">
        <v>38</v>
      </c>
      <c r="G74" s="55" t="s">
        <v>39</v>
      </c>
      <c r="H74" s="56" t="s">
        <v>40</v>
      </c>
    </row>
    <row r="75" spans="1:8" x14ac:dyDescent="0.25">
      <c r="E75" s="57">
        <v>9</v>
      </c>
      <c r="F75" s="58">
        <f>($D$4*E75*185)</f>
        <v>19980</v>
      </c>
      <c r="G75" s="58">
        <f>(($H$69-$H$60)+($D$4*E75*$D$60*185))</f>
        <v>25176.525719999998</v>
      </c>
      <c r="H75" s="59">
        <f>($F75-$G75)</f>
        <v>-5196.5257199999978</v>
      </c>
    </row>
    <row r="76" spans="1:8" x14ac:dyDescent="0.25">
      <c r="E76" s="57">
        <v>10</v>
      </c>
      <c r="F76" s="58">
        <f>($D$4*E76*185)</f>
        <v>22200</v>
      </c>
      <c r="G76" s="58">
        <f>(($H$69-$H$60)+($D$4*E76*$D$60*185))</f>
        <v>25454.025719999998</v>
      </c>
      <c r="H76" s="59">
        <f>($F76-$G76)</f>
        <v>-3254.0257199999978</v>
      </c>
    </row>
    <row r="77" spans="1:8" x14ac:dyDescent="0.25">
      <c r="E77" s="88">
        <f>F4</f>
        <v>13.22</v>
      </c>
      <c r="F77" s="58">
        <f>($D$4*E77*185)</f>
        <v>29348.400000000001</v>
      </c>
      <c r="G77" s="58">
        <f>(($H$69-$H$60)+($D$4*E77*$D$60*185))</f>
        <v>26347.575719999997</v>
      </c>
      <c r="H77" s="59">
        <f>($F77-$G77)</f>
        <v>3000.8242800000044</v>
      </c>
    </row>
    <row r="78" spans="1:8" x14ac:dyDescent="0.25">
      <c r="E78" s="57">
        <v>12</v>
      </c>
      <c r="F78" s="58">
        <f>($D$4*E78*185)</f>
        <v>26640</v>
      </c>
      <c r="G78" s="58">
        <f>(($H$69-$H$60)+($D$4*E78*$D$60*185))</f>
        <v>26009.025719999998</v>
      </c>
      <c r="H78" s="59">
        <f>($F78-$G78)</f>
        <v>630.97428000000218</v>
      </c>
    </row>
    <row r="79" spans="1:8" x14ac:dyDescent="0.25">
      <c r="E79" s="60">
        <v>13</v>
      </c>
      <c r="F79" s="61">
        <f>($D$4*E79*185)</f>
        <v>28860</v>
      </c>
      <c r="G79" s="61">
        <f>(($H$69-$H$60)+($D$4*E79*$D$60*185))</f>
        <v>26286.525719999998</v>
      </c>
      <c r="H79" s="62">
        <f>($F79-$G79)</f>
        <v>2573.4742800000022</v>
      </c>
    </row>
    <row r="80" spans="1:8" x14ac:dyDescent="0.25">
      <c r="D80" s="4"/>
      <c r="E80" s="4"/>
      <c r="F80" s="4"/>
    </row>
    <row r="81" spans="4:6" x14ac:dyDescent="0.25">
      <c r="D81" s="4"/>
      <c r="E81" s="4"/>
      <c r="F81" s="4"/>
    </row>
    <row r="82" spans="4:6" x14ac:dyDescent="0.25">
      <c r="D82" s="4"/>
      <c r="E82" s="4"/>
      <c r="F82" s="4"/>
    </row>
    <row r="83" spans="4:6" x14ac:dyDescent="0.25">
      <c r="D83" s="4"/>
      <c r="E83" s="4"/>
      <c r="F83" s="4"/>
    </row>
    <row r="84" spans="4:6" x14ac:dyDescent="0.25">
      <c r="D84" s="4"/>
      <c r="E84" s="4"/>
      <c r="F84" s="4"/>
    </row>
    <row r="85" spans="4:6" x14ac:dyDescent="0.25">
      <c r="D85" s="4"/>
      <c r="E85" s="4"/>
      <c r="F85" s="4"/>
    </row>
  </sheetData>
  <sheetProtection password="8D83" sheet="1" objects="1" scenarios="1"/>
  <mergeCells count="5">
    <mergeCell ref="D70:F70"/>
    <mergeCell ref="D66:F66"/>
    <mergeCell ref="D67:F67"/>
    <mergeCell ref="D68:F68"/>
    <mergeCell ref="D69:F69"/>
  </mergeCells>
  <phoneticPr fontId="9"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election activeCell="U18" sqref="U18"/>
    </sheetView>
  </sheetViews>
  <sheetFormatPr defaultRowHeight="13.2" x14ac:dyDescent="0.25"/>
  <sheetData/>
  <sheetProtection password="8D83" sheet="1" objects="1" scenarios="1"/>
  <phoneticPr fontId="9" type="noConversion"/>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Mango</vt:lpstr>
      <vt:lpstr>Information</vt:lpstr>
    </vt:vector>
  </TitlesOfParts>
  <Company>Department of Primary Industries &amp; Fisheries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dc:creator>
  <cp:lastModifiedBy>Rolfe Ellem</cp:lastModifiedBy>
  <dcterms:created xsi:type="dcterms:W3CDTF">2007-02-15T04:43:22Z</dcterms:created>
  <dcterms:modified xsi:type="dcterms:W3CDTF">2018-01-17T03:30:40Z</dcterms:modified>
</cp:coreProperties>
</file>