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xml" ContentType="application/vnd.ms-excel.controlproperties+xml"/>
  <Override PartName="/xl/drawings/drawing9.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8" windowWidth="19032" windowHeight="12276" activeTab="4"/>
  </bookViews>
  <sheets>
    <sheet name="Title" sheetId="2" r:id="rId1"/>
    <sheet name="Farm Parameters" sheetId="1" r:id="rId2"/>
    <sheet name="Price and Yields" sheetId="3" r:id="rId3"/>
    <sheet name="GM Information" sheetId="25" r:id="rId4"/>
    <sheet name="Year 1" sheetId="5" r:id="rId5"/>
    <sheet name="Year 2" sheetId="6" r:id="rId6"/>
    <sheet name="Year 3" sheetId="7" r:id="rId7"/>
    <sheet name="Year 4" sheetId="8" r:id="rId8"/>
    <sheet name="Year 5" sheetId="12" r:id="rId9"/>
    <sheet name="Year 6" sheetId="13" r:id="rId10"/>
    <sheet name="Year 7" sheetId="14" r:id="rId11"/>
    <sheet name="Year 8" sheetId="15" r:id="rId12"/>
    <sheet name="Year 9" sheetId="16" r:id="rId13"/>
    <sheet name="Year 10" sheetId="17" r:id="rId14"/>
    <sheet name="Year 11" sheetId="18" r:id="rId15"/>
    <sheet name="Year 12+" sheetId="19" r:id="rId16"/>
    <sheet name="Fixed" sheetId="20" r:id="rId17"/>
    <sheet name="Capital Costs" sheetId="21" r:id="rId18"/>
    <sheet name="DCF" sheetId="22" state="hidden" r:id="rId19"/>
    <sheet name="Graphs" sheetId="23" r:id="rId20"/>
    <sheet name="Summary" sheetId="24" r:id="rId21"/>
  </sheets>
  <externalReferences>
    <externalReference r:id="rId22"/>
  </externalReferences>
  <definedNames>
    <definedName name="_Regression_Int">1</definedName>
    <definedName name="_xlnm.Print_Area">'[1]Amortised Loan'!$A$1:$M$54</definedName>
    <definedName name="Print_Area_MI">'[1]Amortised Loan'!$A$1:$M$54</definedName>
  </definedNames>
  <calcPr calcId="145621"/>
</workbook>
</file>

<file path=xl/calcChain.xml><?xml version="1.0" encoding="utf-8"?>
<calcChain xmlns="http://schemas.openxmlformats.org/spreadsheetml/2006/main">
  <c r="D4" i="1" l="1"/>
  <c r="C5" i="22"/>
  <c r="C6" i="22"/>
  <c r="A24" i="24"/>
  <c r="A23" i="24"/>
  <c r="A22" i="24"/>
  <c r="A21" i="24"/>
  <c r="A20" i="24"/>
  <c r="A19" i="24"/>
  <c r="A15" i="24"/>
  <c r="A14" i="24"/>
  <c r="A13" i="24"/>
  <c r="A12" i="24"/>
  <c r="A11" i="24"/>
  <c r="A10" i="24"/>
  <c r="A9" i="24"/>
  <c r="A8" i="24"/>
  <c r="A7" i="24"/>
  <c r="P37" i="23"/>
  <c r="O37" i="23"/>
  <c r="N37" i="23"/>
  <c r="M37" i="23"/>
  <c r="L37" i="23"/>
  <c r="K37" i="23"/>
  <c r="J37" i="23"/>
  <c r="I37" i="23"/>
  <c r="H37" i="23"/>
  <c r="G37" i="23"/>
  <c r="F37" i="23"/>
  <c r="E37" i="23"/>
  <c r="D37" i="23"/>
  <c r="C37" i="23"/>
  <c r="B37" i="23"/>
  <c r="A3" i="23"/>
  <c r="D29" i="21"/>
  <c r="D31" i="21"/>
  <c r="D32" i="21"/>
  <c r="D33" i="21"/>
  <c r="D35" i="21"/>
  <c r="D39" i="21"/>
  <c r="D45" i="21"/>
  <c r="D42" i="21"/>
  <c r="D65" i="21"/>
  <c r="BO29" i="21"/>
  <c r="BO31" i="21"/>
  <c r="BO32" i="21"/>
  <c r="BO33" i="21"/>
  <c r="BO35" i="21"/>
  <c r="BO39" i="21"/>
  <c r="BO42" i="21"/>
  <c r="BO65" i="21"/>
  <c r="BN29" i="21"/>
  <c r="BN31" i="21"/>
  <c r="BN32" i="21"/>
  <c r="BN33" i="21"/>
  <c r="BN35" i="21"/>
  <c r="BN39" i="21"/>
  <c r="BN42" i="21"/>
  <c r="BN65" i="21"/>
  <c r="BM29" i="21"/>
  <c r="BM31" i="21"/>
  <c r="BM32" i="21"/>
  <c r="BM33" i="21"/>
  <c r="BM35" i="21"/>
  <c r="BM39" i="21"/>
  <c r="BM42" i="21"/>
  <c r="BM65" i="21"/>
  <c r="BL29" i="21"/>
  <c r="BL31" i="21"/>
  <c r="BL32" i="21"/>
  <c r="BL33" i="21"/>
  <c r="BL35" i="21"/>
  <c r="BL39" i="21"/>
  <c r="BL42" i="21"/>
  <c r="BL65" i="21"/>
  <c r="BK29" i="21"/>
  <c r="BK31" i="21"/>
  <c r="BK32" i="21"/>
  <c r="BK33" i="21"/>
  <c r="BK35" i="21"/>
  <c r="BK39" i="21"/>
  <c r="BK42" i="21"/>
  <c r="BK65" i="21"/>
  <c r="BJ29" i="21"/>
  <c r="BJ31" i="21"/>
  <c r="BJ32" i="21"/>
  <c r="BJ33" i="21"/>
  <c r="BJ35" i="21"/>
  <c r="BJ39" i="21"/>
  <c r="BJ42" i="21"/>
  <c r="BJ65" i="21"/>
  <c r="BI29" i="21"/>
  <c r="BI31" i="21"/>
  <c r="BI32" i="21"/>
  <c r="BI33" i="21"/>
  <c r="BI35" i="21"/>
  <c r="BI39" i="21"/>
  <c r="BI42" i="21"/>
  <c r="BI65" i="21"/>
  <c r="BH29" i="21"/>
  <c r="BH31" i="21"/>
  <c r="BH32" i="21"/>
  <c r="BH33" i="21"/>
  <c r="BH35" i="21"/>
  <c r="BH39" i="21"/>
  <c r="BH42" i="21"/>
  <c r="BH65" i="21"/>
  <c r="BG29" i="21"/>
  <c r="BG31" i="21"/>
  <c r="BG32" i="21"/>
  <c r="BG33" i="21"/>
  <c r="BG35" i="21"/>
  <c r="BG39" i="21"/>
  <c r="BG42" i="21"/>
  <c r="BG65" i="21"/>
  <c r="BF29" i="21"/>
  <c r="BF31" i="21"/>
  <c r="BF32" i="21"/>
  <c r="BF33" i="21"/>
  <c r="BF35" i="21"/>
  <c r="BF39" i="21"/>
  <c r="BF42" i="21"/>
  <c r="BF65" i="21"/>
  <c r="BE29" i="21"/>
  <c r="BE31" i="21"/>
  <c r="BE32" i="21"/>
  <c r="BE33" i="21"/>
  <c r="BE35" i="21"/>
  <c r="BE39" i="21"/>
  <c r="BE42" i="21"/>
  <c r="BE65" i="21"/>
  <c r="BD29" i="21"/>
  <c r="BD31" i="21"/>
  <c r="BD32" i="21"/>
  <c r="BD33" i="21"/>
  <c r="BD35" i="21"/>
  <c r="BD39" i="21"/>
  <c r="BD42" i="21"/>
  <c r="BD65" i="21"/>
  <c r="BC29" i="21"/>
  <c r="BC31" i="21"/>
  <c r="BC32" i="21"/>
  <c r="BC33" i="21"/>
  <c r="BC35" i="21"/>
  <c r="BC39" i="21"/>
  <c r="BC42" i="21"/>
  <c r="BC65" i="21"/>
  <c r="BB29" i="21"/>
  <c r="BB31" i="21"/>
  <c r="BB32" i="21"/>
  <c r="BB33" i="21"/>
  <c r="BB35" i="21"/>
  <c r="BB39" i="21"/>
  <c r="BB42" i="21"/>
  <c r="BB65" i="21"/>
  <c r="BA29" i="21"/>
  <c r="BA31" i="21"/>
  <c r="BA32" i="21"/>
  <c r="BA33" i="21"/>
  <c r="BA35" i="21"/>
  <c r="BA39" i="21"/>
  <c r="BA42" i="21"/>
  <c r="BA65" i="21"/>
  <c r="AZ29" i="21"/>
  <c r="AZ31" i="21"/>
  <c r="AZ32" i="21"/>
  <c r="AZ33" i="21"/>
  <c r="AZ35" i="21"/>
  <c r="AZ39" i="21"/>
  <c r="AZ42" i="21"/>
  <c r="AZ65" i="21"/>
  <c r="AY29" i="21"/>
  <c r="AY31" i="21"/>
  <c r="AY32" i="21"/>
  <c r="AY33" i="21"/>
  <c r="AY35" i="21"/>
  <c r="AY39" i="21"/>
  <c r="AY42" i="21"/>
  <c r="AY65" i="21"/>
  <c r="AX29" i="21"/>
  <c r="AX31" i="21"/>
  <c r="AX32" i="21"/>
  <c r="AX33" i="21"/>
  <c r="AX35" i="21"/>
  <c r="AX39" i="21"/>
  <c r="AX42" i="21"/>
  <c r="AX65" i="21"/>
  <c r="AW29" i="21"/>
  <c r="AW31" i="21"/>
  <c r="AW32" i="21"/>
  <c r="AW33" i="21"/>
  <c r="AW35" i="21"/>
  <c r="AW39" i="21"/>
  <c r="AW42" i="21"/>
  <c r="AW65" i="21"/>
  <c r="AV29" i="21"/>
  <c r="AV31" i="21"/>
  <c r="AV32" i="21"/>
  <c r="AV33" i="21"/>
  <c r="AV35" i="21"/>
  <c r="AV39" i="21"/>
  <c r="AV42" i="21"/>
  <c r="AV65" i="21"/>
  <c r="AU29" i="21"/>
  <c r="AU31" i="21"/>
  <c r="AU32" i="21"/>
  <c r="AU33" i="21"/>
  <c r="AU35" i="21"/>
  <c r="AU39" i="21"/>
  <c r="AU42" i="21"/>
  <c r="AU65" i="21"/>
  <c r="AT29" i="21"/>
  <c r="AT31" i="21"/>
  <c r="AT32" i="21"/>
  <c r="AT33" i="21"/>
  <c r="AT35" i="21"/>
  <c r="AT39" i="21"/>
  <c r="AT42" i="21"/>
  <c r="AT65" i="21"/>
  <c r="AS29" i="21"/>
  <c r="AS31" i="21"/>
  <c r="AS32" i="21"/>
  <c r="AS33" i="21"/>
  <c r="AS35" i="21"/>
  <c r="AS39" i="21"/>
  <c r="AS42" i="21"/>
  <c r="AS65" i="21"/>
  <c r="AR29" i="21"/>
  <c r="AR31" i="21"/>
  <c r="AR32" i="21"/>
  <c r="AR33" i="21"/>
  <c r="AR35" i="21"/>
  <c r="AR39" i="21"/>
  <c r="AR42" i="21"/>
  <c r="AR65" i="21"/>
  <c r="AQ29" i="21"/>
  <c r="AQ31" i="21"/>
  <c r="AQ32" i="21"/>
  <c r="AQ33" i="21"/>
  <c r="AQ35" i="21"/>
  <c r="AQ39" i="21"/>
  <c r="AQ42" i="21"/>
  <c r="AQ65" i="21"/>
  <c r="AP29" i="21"/>
  <c r="AP31" i="21"/>
  <c r="AP32" i="21"/>
  <c r="AP33" i="21"/>
  <c r="AP35" i="21"/>
  <c r="AP39" i="21"/>
  <c r="AP42" i="21"/>
  <c r="AP65" i="21"/>
  <c r="AO29" i="21"/>
  <c r="AO31" i="21"/>
  <c r="AO32" i="21"/>
  <c r="AO33" i="21"/>
  <c r="AO35" i="21"/>
  <c r="AO39" i="21"/>
  <c r="AO42" i="21"/>
  <c r="AO65" i="21"/>
  <c r="AN29" i="21"/>
  <c r="AN31" i="21"/>
  <c r="AN32" i="21"/>
  <c r="AN33" i="21"/>
  <c r="AN35" i="21"/>
  <c r="AN39" i="21"/>
  <c r="AN42" i="21"/>
  <c r="AN65" i="21"/>
  <c r="AM29" i="21"/>
  <c r="AM31" i="21"/>
  <c r="AM32" i="21"/>
  <c r="AM33" i="21"/>
  <c r="AM35" i="21"/>
  <c r="AM39" i="21"/>
  <c r="AM42" i="21"/>
  <c r="AM65" i="21"/>
  <c r="R12" i="22"/>
  <c r="P12" i="22"/>
  <c r="O12" i="22"/>
  <c r="N12" i="22"/>
  <c r="N13" i="22"/>
  <c r="N14" i="22"/>
  <c r="AL29" i="21"/>
  <c r="AL31" i="21"/>
  <c r="AL32" i="21"/>
  <c r="AL33" i="21"/>
  <c r="AL35" i="21"/>
  <c r="AL39" i="21"/>
  <c r="AL42" i="21"/>
  <c r="AL65" i="21"/>
  <c r="C2" i="22"/>
  <c r="A12" i="22"/>
  <c r="A4" i="23"/>
  <c r="A13" i="22"/>
  <c r="A5" i="23"/>
  <c r="O13" i="22"/>
  <c r="P13" i="22"/>
  <c r="P14" i="22"/>
  <c r="P15" i="22"/>
  <c r="P16" i="22"/>
  <c r="A14" i="22"/>
  <c r="O14" i="22"/>
  <c r="O15" i="22"/>
  <c r="N15" i="22"/>
  <c r="N16" i="22"/>
  <c r="N17" i="22"/>
  <c r="N18" i="22"/>
  <c r="O16" i="22"/>
  <c r="O17" i="22"/>
  <c r="O18" i="22"/>
  <c r="O19" i="22"/>
  <c r="P17" i="22"/>
  <c r="P18" i="22"/>
  <c r="P19" i="22"/>
  <c r="P20" i="22"/>
  <c r="P21" i="22"/>
  <c r="P22" i="22"/>
  <c r="P23" i="22"/>
  <c r="P24" i="22"/>
  <c r="P25" i="22"/>
  <c r="P26" i="22"/>
  <c r="P27" i="22"/>
  <c r="P28" i="22"/>
  <c r="P29" i="22"/>
  <c r="N19" i="22"/>
  <c r="N20" i="22"/>
  <c r="O20" i="22"/>
  <c r="O21" i="22"/>
  <c r="O22" i="22"/>
  <c r="N21" i="22"/>
  <c r="P30" i="22"/>
  <c r="P31" i="22"/>
  <c r="P32" i="22"/>
  <c r="P33" i="22"/>
  <c r="P34" i="22"/>
  <c r="P35" i="22"/>
  <c r="P36" i="22"/>
  <c r="P37" i="22"/>
  <c r="P38" i="22"/>
  <c r="P39" i="22"/>
  <c r="P40" i="22"/>
  <c r="P41" i="22"/>
  <c r="Z3" i="21"/>
  <c r="AA3" i="21"/>
  <c r="AB3" i="21"/>
  <c r="AC3" i="21"/>
  <c r="AD3" i="21"/>
  <c r="AE3" i="21"/>
  <c r="AF3" i="21"/>
  <c r="AG3" i="21"/>
  <c r="AH3" i="21"/>
  <c r="AI3" i="21"/>
  <c r="AM3" i="21"/>
  <c r="AN3" i="21"/>
  <c r="AO3" i="21"/>
  <c r="AP3" i="21"/>
  <c r="AQ3" i="21"/>
  <c r="AR3" i="21"/>
  <c r="AS3" i="21"/>
  <c r="AT3" i="21"/>
  <c r="AU3" i="21"/>
  <c r="AV3" i="21"/>
  <c r="AW3" i="21"/>
  <c r="AX3" i="21"/>
  <c r="AY3" i="21"/>
  <c r="AZ3" i="21"/>
  <c r="BA3" i="21"/>
  <c r="BB3" i="21"/>
  <c r="BC3" i="21"/>
  <c r="BD3" i="21"/>
  <c r="BE3" i="21"/>
  <c r="BF3" i="21"/>
  <c r="BG3" i="21"/>
  <c r="BH3" i="21"/>
  <c r="BI3" i="21"/>
  <c r="BJ3" i="21"/>
  <c r="BK3" i="21"/>
  <c r="BL3" i="21"/>
  <c r="BM3" i="21"/>
  <c r="BN3" i="21"/>
  <c r="BO3" i="21"/>
  <c r="BP3" i="21"/>
  <c r="D5" i="21"/>
  <c r="AL5" i="21"/>
  <c r="AM5" i="21"/>
  <c r="AN5" i="21"/>
  <c r="AO5" i="21"/>
  <c r="AP5" i="21"/>
  <c r="AQ5" i="21"/>
  <c r="AR5" i="21"/>
  <c r="AS5" i="21"/>
  <c r="AT5" i="21"/>
  <c r="AT67" i="21"/>
  <c r="S19" i="22"/>
  <c r="AU5" i="21"/>
  <c r="AV5" i="21"/>
  <c r="AW5" i="21"/>
  <c r="AX5" i="21"/>
  <c r="AY5" i="21"/>
  <c r="AZ5" i="21"/>
  <c r="BA5" i="21"/>
  <c r="BB5" i="21"/>
  <c r="BB67" i="21"/>
  <c r="S27" i="22"/>
  <c r="BC5" i="21"/>
  <c r="BD5" i="21"/>
  <c r="BE5" i="21"/>
  <c r="BF5" i="21"/>
  <c r="BG5" i="21"/>
  <c r="BH5" i="21"/>
  <c r="BI5" i="21"/>
  <c r="BJ5" i="21"/>
  <c r="BJ67" i="21"/>
  <c r="S35" i="22"/>
  <c r="BK5" i="21"/>
  <c r="BL5" i="21"/>
  <c r="BM5" i="21"/>
  <c r="BN5" i="21"/>
  <c r="BO5" i="21"/>
  <c r="BP5" i="21"/>
  <c r="D6" i="21"/>
  <c r="AL6" i="21"/>
  <c r="AM6" i="21"/>
  <c r="AN6" i="21"/>
  <c r="AO6" i="21"/>
  <c r="AP6" i="21"/>
  <c r="AQ6" i="21"/>
  <c r="AR6" i="21"/>
  <c r="AS6" i="21"/>
  <c r="AT6" i="21"/>
  <c r="AU6" i="21"/>
  <c r="AV6" i="21"/>
  <c r="AW6" i="21"/>
  <c r="AX6" i="21"/>
  <c r="AY6" i="21"/>
  <c r="AZ6" i="21"/>
  <c r="BA6" i="21"/>
  <c r="BB6" i="21"/>
  <c r="BC6" i="21"/>
  <c r="BD6" i="21"/>
  <c r="BE6" i="21"/>
  <c r="BF6" i="21"/>
  <c r="BG6" i="21"/>
  <c r="BH6" i="21"/>
  <c r="BI6" i="21"/>
  <c r="BJ6" i="21"/>
  <c r="BK6" i="21"/>
  <c r="BL6" i="21"/>
  <c r="BM6" i="21"/>
  <c r="BN6" i="21"/>
  <c r="BO6" i="21"/>
  <c r="BP6" i="21"/>
  <c r="D7" i="21"/>
  <c r="BD7" i="21"/>
  <c r="AL7" i="21"/>
  <c r="AM7" i="21"/>
  <c r="AN7" i="21"/>
  <c r="AO7" i="21"/>
  <c r="AP7" i="21"/>
  <c r="AQ7" i="21"/>
  <c r="AR7" i="21"/>
  <c r="AS7" i="21"/>
  <c r="AT7" i="21"/>
  <c r="AU7" i="21"/>
  <c r="AV7" i="21"/>
  <c r="AW7" i="21"/>
  <c r="AX7" i="21"/>
  <c r="AY7" i="21"/>
  <c r="AZ7" i="21"/>
  <c r="BA7" i="21"/>
  <c r="BB7" i="21"/>
  <c r="BC7" i="21"/>
  <c r="BE7" i="21"/>
  <c r="BF7" i="21"/>
  <c r="BG7" i="21"/>
  <c r="BH7" i="21"/>
  <c r="BI7" i="21"/>
  <c r="BJ7" i="21"/>
  <c r="BK7" i="21"/>
  <c r="BL7" i="21"/>
  <c r="BM7" i="21"/>
  <c r="BN7" i="21"/>
  <c r="BO7" i="21"/>
  <c r="BP7" i="21"/>
  <c r="D8" i="21"/>
  <c r="AL8" i="21"/>
  <c r="AM8" i="21"/>
  <c r="AN8" i="21"/>
  <c r="AO8" i="21"/>
  <c r="AP8" i="21"/>
  <c r="AQ8" i="21"/>
  <c r="AR8" i="21"/>
  <c r="AS8" i="21"/>
  <c r="AT8" i="21"/>
  <c r="AU8" i="21"/>
  <c r="AV8" i="21"/>
  <c r="AW8" i="21"/>
  <c r="AX8" i="21"/>
  <c r="AY8" i="21"/>
  <c r="AZ8" i="21"/>
  <c r="BA8" i="21"/>
  <c r="BB8" i="21"/>
  <c r="BC8" i="21"/>
  <c r="BD8" i="21"/>
  <c r="BE8" i="21"/>
  <c r="BF8" i="21"/>
  <c r="BG8" i="21"/>
  <c r="BH8" i="21"/>
  <c r="BI8" i="21"/>
  <c r="BJ8" i="21"/>
  <c r="BK8" i="21"/>
  <c r="BL8" i="21"/>
  <c r="BM8" i="21"/>
  <c r="BN8" i="21"/>
  <c r="BO8" i="21"/>
  <c r="BP8" i="21"/>
  <c r="D9" i="21"/>
  <c r="BC9" i="21"/>
  <c r="AL9" i="21"/>
  <c r="AM9" i="21"/>
  <c r="AN9" i="21"/>
  <c r="AO9" i="21"/>
  <c r="AP9" i="21"/>
  <c r="AQ9" i="21"/>
  <c r="AR9" i="21"/>
  <c r="AS9" i="21"/>
  <c r="AT9" i="21"/>
  <c r="AU9" i="21"/>
  <c r="AV9" i="21"/>
  <c r="AW9" i="21"/>
  <c r="AX9" i="21"/>
  <c r="AY9" i="21"/>
  <c r="AZ9" i="21"/>
  <c r="BA9" i="21"/>
  <c r="BB9" i="21"/>
  <c r="BD9" i="21"/>
  <c r="BE9" i="21"/>
  <c r="BF9" i="21"/>
  <c r="BG9" i="21"/>
  <c r="BH9" i="21"/>
  <c r="BI9" i="21"/>
  <c r="BJ9" i="21"/>
  <c r="BK9" i="21"/>
  <c r="BL9" i="21"/>
  <c r="BM9" i="21"/>
  <c r="BN9" i="21"/>
  <c r="BO9" i="21"/>
  <c r="BP9" i="21"/>
  <c r="D10" i="21"/>
  <c r="AL10" i="21"/>
  <c r="AM10" i="21"/>
  <c r="AN10" i="21"/>
  <c r="AO10" i="21"/>
  <c r="AP10" i="21"/>
  <c r="AQ10" i="21"/>
  <c r="AR10" i="21"/>
  <c r="AS10" i="21"/>
  <c r="AT10" i="21"/>
  <c r="AU10" i="21"/>
  <c r="AW10" i="21"/>
  <c r="AX10" i="21"/>
  <c r="AY10" i="21"/>
  <c r="AZ10" i="21"/>
  <c r="BA10" i="21"/>
  <c r="BB10" i="21"/>
  <c r="BC10" i="21"/>
  <c r="BD10" i="21"/>
  <c r="BE10" i="21"/>
  <c r="BG10" i="21"/>
  <c r="BH10" i="21"/>
  <c r="BI10" i="21"/>
  <c r="BJ10" i="21"/>
  <c r="BK10" i="21"/>
  <c r="BL10" i="21"/>
  <c r="BM10" i="21"/>
  <c r="BN10" i="21"/>
  <c r="BO10" i="21"/>
  <c r="BP10" i="21"/>
  <c r="B11" i="21"/>
  <c r="AL11" i="21"/>
  <c r="AM11" i="21"/>
  <c r="AN11" i="21"/>
  <c r="AO11" i="21"/>
  <c r="AP11" i="21"/>
  <c r="AQ11" i="21"/>
  <c r="AR11" i="21"/>
  <c r="AS11" i="21"/>
  <c r="AT11" i="21"/>
  <c r="AU11" i="21"/>
  <c r="AV11" i="21"/>
  <c r="AW11" i="21"/>
  <c r="AX11" i="21"/>
  <c r="AY11" i="21"/>
  <c r="AZ11" i="21"/>
  <c r="BA11" i="21"/>
  <c r="BB11" i="21"/>
  <c r="BC11" i="21"/>
  <c r="BD11" i="21"/>
  <c r="BE11" i="21"/>
  <c r="BF11" i="21"/>
  <c r="BG11" i="21"/>
  <c r="BH11" i="21"/>
  <c r="BI11" i="21"/>
  <c r="BJ11" i="21"/>
  <c r="BK11" i="21"/>
  <c r="BL11" i="21"/>
  <c r="BM11" i="21"/>
  <c r="BN11" i="21"/>
  <c r="BO11" i="21"/>
  <c r="BP11" i="21"/>
  <c r="AL12" i="21"/>
  <c r="AM12" i="21"/>
  <c r="AN12" i="21"/>
  <c r="AO12" i="21"/>
  <c r="AP12" i="21"/>
  <c r="AQ12" i="21"/>
  <c r="AR12" i="21"/>
  <c r="AS12" i="21"/>
  <c r="AT12" i="21"/>
  <c r="AU12" i="21"/>
  <c r="AV12" i="21"/>
  <c r="AW12" i="21"/>
  <c r="AX12" i="21"/>
  <c r="AY12" i="21"/>
  <c r="AZ12" i="21"/>
  <c r="BA12" i="21"/>
  <c r="BB12" i="21"/>
  <c r="BC12" i="21"/>
  <c r="BD12" i="21"/>
  <c r="BE12" i="21"/>
  <c r="BF12" i="21"/>
  <c r="BG12" i="21"/>
  <c r="BH12" i="21"/>
  <c r="BI12" i="21"/>
  <c r="BJ12" i="21"/>
  <c r="BK12" i="21"/>
  <c r="BL12" i="21"/>
  <c r="BM12" i="21"/>
  <c r="BN12" i="21"/>
  <c r="BO12" i="21"/>
  <c r="BP12" i="21"/>
  <c r="D14" i="21"/>
  <c r="AL14" i="21"/>
  <c r="AM14" i="21"/>
  <c r="AN14" i="21"/>
  <c r="AO14" i="21"/>
  <c r="AP14" i="21"/>
  <c r="AQ14" i="21"/>
  <c r="AR14" i="21"/>
  <c r="AS14" i="21"/>
  <c r="AT14" i="21"/>
  <c r="AU14" i="21"/>
  <c r="AV14" i="21"/>
  <c r="AW14" i="21"/>
  <c r="AX14" i="21"/>
  <c r="AY14" i="21"/>
  <c r="AZ14" i="21"/>
  <c r="BA14" i="21"/>
  <c r="BB14" i="21"/>
  <c r="BC14" i="21"/>
  <c r="BD14" i="21"/>
  <c r="BE14" i="21"/>
  <c r="BF14" i="21"/>
  <c r="BG14" i="21"/>
  <c r="BH14" i="21"/>
  <c r="BI14" i="21"/>
  <c r="BJ14" i="21"/>
  <c r="BK14" i="21"/>
  <c r="BL14" i="21"/>
  <c r="BM14" i="21"/>
  <c r="BN14" i="21"/>
  <c r="BO14" i="21"/>
  <c r="BP14" i="21"/>
  <c r="D15" i="21"/>
  <c r="BC15" i="21"/>
  <c r="AL15" i="21"/>
  <c r="AM15" i="21"/>
  <c r="AN15" i="21"/>
  <c r="AO15" i="21"/>
  <c r="AP15" i="21"/>
  <c r="AQ15" i="21"/>
  <c r="AR15" i="21"/>
  <c r="AS15" i="21"/>
  <c r="AT15" i="21"/>
  <c r="AU15" i="21"/>
  <c r="AV15" i="21"/>
  <c r="AW15" i="21"/>
  <c r="AX15" i="21"/>
  <c r="AY15" i="21"/>
  <c r="AZ15" i="21"/>
  <c r="BA15" i="21"/>
  <c r="BB15" i="21"/>
  <c r="BD15" i="21"/>
  <c r="BE15" i="21"/>
  <c r="BF15" i="21"/>
  <c r="BG15" i="21"/>
  <c r="BH15" i="21"/>
  <c r="BI15" i="21"/>
  <c r="BJ15" i="21"/>
  <c r="BK15" i="21"/>
  <c r="BL15" i="21"/>
  <c r="BM15" i="21"/>
  <c r="BN15" i="21"/>
  <c r="BO15" i="21"/>
  <c r="BP15" i="21"/>
  <c r="D16" i="21"/>
  <c r="AL16" i="21"/>
  <c r="AM16" i="21"/>
  <c r="AN16" i="21"/>
  <c r="AO16" i="21"/>
  <c r="AP16" i="21"/>
  <c r="AQ16" i="21"/>
  <c r="AR16" i="21"/>
  <c r="AS16" i="21"/>
  <c r="AT16" i="21"/>
  <c r="AU16" i="21"/>
  <c r="AV16" i="21"/>
  <c r="AW16" i="21"/>
  <c r="AX16" i="21"/>
  <c r="AY16" i="21"/>
  <c r="AZ16" i="21"/>
  <c r="BA16" i="21"/>
  <c r="BB16" i="21"/>
  <c r="BC16" i="21"/>
  <c r="BD16" i="21"/>
  <c r="BE16" i="21"/>
  <c r="BF16" i="21"/>
  <c r="BG16" i="21"/>
  <c r="BH16" i="21"/>
  <c r="BI16" i="21"/>
  <c r="BJ16" i="21"/>
  <c r="BK16" i="21"/>
  <c r="BL16" i="21"/>
  <c r="BM16" i="21"/>
  <c r="BN16" i="21"/>
  <c r="BO16" i="21"/>
  <c r="BP16" i="21"/>
  <c r="D17" i="21"/>
  <c r="AL17" i="21"/>
  <c r="AM17" i="21"/>
  <c r="AN17" i="21"/>
  <c r="AO17" i="21"/>
  <c r="AP17" i="21"/>
  <c r="AQ17" i="21"/>
  <c r="AR17" i="21"/>
  <c r="AS17" i="21"/>
  <c r="AT17" i="21"/>
  <c r="AU17" i="21"/>
  <c r="AV17" i="21"/>
  <c r="AW17" i="21"/>
  <c r="AX17" i="21"/>
  <c r="AY17" i="21"/>
  <c r="AZ17" i="21"/>
  <c r="BA17" i="21"/>
  <c r="BB17" i="21"/>
  <c r="BC17" i="21"/>
  <c r="BD17" i="21"/>
  <c r="BE17" i="21"/>
  <c r="BF17" i="21"/>
  <c r="BG17" i="21"/>
  <c r="BH17" i="21"/>
  <c r="BI17" i="21"/>
  <c r="BJ17" i="21"/>
  <c r="BK17" i="21"/>
  <c r="BL17" i="21"/>
  <c r="BM17" i="21"/>
  <c r="BN17" i="21"/>
  <c r="BO17" i="21"/>
  <c r="BP17" i="21"/>
  <c r="D18" i="21"/>
  <c r="AL18" i="21"/>
  <c r="AM18" i="21"/>
  <c r="AN18" i="21"/>
  <c r="AO18" i="21"/>
  <c r="AP18" i="21"/>
  <c r="AQ18" i="21"/>
  <c r="AR18" i="21"/>
  <c r="AS18" i="21"/>
  <c r="AT18" i="21"/>
  <c r="AU18" i="21"/>
  <c r="AW18" i="21"/>
  <c r="AX18" i="21"/>
  <c r="AY18" i="21"/>
  <c r="AZ18" i="21"/>
  <c r="BA18" i="21"/>
  <c r="BB18" i="21"/>
  <c r="BC18" i="21"/>
  <c r="BD18" i="21"/>
  <c r="BE18" i="21"/>
  <c r="BG18" i="21"/>
  <c r="BH18" i="21"/>
  <c r="BI18" i="21"/>
  <c r="BJ18" i="21"/>
  <c r="BK18" i="21"/>
  <c r="BL18" i="21"/>
  <c r="BM18" i="21"/>
  <c r="BN18" i="21"/>
  <c r="BO18" i="21"/>
  <c r="BP18" i="21"/>
  <c r="D19" i="21"/>
  <c r="AL19" i="21"/>
  <c r="AM19" i="21"/>
  <c r="AN19" i="21"/>
  <c r="AO19" i="21"/>
  <c r="AP19" i="21"/>
  <c r="AQ19" i="21"/>
  <c r="AR19" i="21"/>
  <c r="AS19" i="21"/>
  <c r="AT19" i="21"/>
  <c r="AU19" i="21"/>
  <c r="AV19" i="21"/>
  <c r="AW19" i="21"/>
  <c r="AX19" i="21"/>
  <c r="AY19" i="21"/>
  <c r="AZ19" i="21"/>
  <c r="BA19" i="21"/>
  <c r="BB19" i="21"/>
  <c r="BC19" i="21"/>
  <c r="BD19" i="21"/>
  <c r="BE19" i="21"/>
  <c r="BF19" i="21"/>
  <c r="BG19" i="21"/>
  <c r="BH19" i="21"/>
  <c r="BI19" i="21"/>
  <c r="BJ19" i="21"/>
  <c r="BK19" i="21"/>
  <c r="BL19" i="21"/>
  <c r="BM19" i="21"/>
  <c r="BN19" i="21"/>
  <c r="BO19" i="21"/>
  <c r="BP19" i="21"/>
  <c r="D20" i="21"/>
  <c r="AL20" i="21"/>
  <c r="AM20" i="21"/>
  <c r="AN20" i="21"/>
  <c r="AO20" i="21"/>
  <c r="AP20" i="21"/>
  <c r="AQ20" i="21"/>
  <c r="AR20" i="21"/>
  <c r="AS20" i="21"/>
  <c r="AT20" i="21"/>
  <c r="AU20" i="21"/>
  <c r="AV20" i="21"/>
  <c r="AW20" i="21"/>
  <c r="AX20" i="21"/>
  <c r="AY20" i="21"/>
  <c r="AZ20" i="21"/>
  <c r="BA20" i="21"/>
  <c r="BB20" i="21"/>
  <c r="BC20" i="21"/>
  <c r="BD20" i="21"/>
  <c r="BE20" i="21"/>
  <c r="BF20" i="21"/>
  <c r="BG20" i="21"/>
  <c r="BH20" i="21"/>
  <c r="BI20" i="21"/>
  <c r="BJ20" i="21"/>
  <c r="BK20" i="21"/>
  <c r="BL20" i="21"/>
  <c r="BM20" i="21"/>
  <c r="BN20" i="21"/>
  <c r="BO20" i="21"/>
  <c r="BP20" i="21"/>
  <c r="D21" i="21"/>
  <c r="AL21" i="21"/>
  <c r="AM21" i="21"/>
  <c r="AN21" i="21"/>
  <c r="AO21" i="21"/>
  <c r="AP21" i="21"/>
  <c r="AQ21" i="21"/>
  <c r="AR21" i="21"/>
  <c r="AS21" i="21"/>
  <c r="AT21" i="21"/>
  <c r="AU21" i="21"/>
  <c r="AV21" i="21"/>
  <c r="AW21" i="21"/>
  <c r="AX21" i="21"/>
  <c r="AY21" i="21"/>
  <c r="AZ21" i="21"/>
  <c r="BA21" i="21"/>
  <c r="BB21" i="21"/>
  <c r="BC21" i="21"/>
  <c r="BD21" i="21"/>
  <c r="BE21" i="21"/>
  <c r="BF21" i="21"/>
  <c r="BG21" i="21"/>
  <c r="BH21" i="21"/>
  <c r="BI21" i="21"/>
  <c r="BJ21" i="21"/>
  <c r="BK21" i="21"/>
  <c r="BL21" i="21"/>
  <c r="BM21" i="21"/>
  <c r="BN21" i="21"/>
  <c r="BO21" i="21"/>
  <c r="BP21" i="21"/>
  <c r="D22" i="21"/>
  <c r="AP22" i="21"/>
  <c r="AP67" i="21"/>
  <c r="S15" i="22"/>
  <c r="AL22" i="21"/>
  <c r="AM22" i="21"/>
  <c r="AN22" i="21"/>
  <c r="AO22" i="21"/>
  <c r="AQ22" i="21"/>
  <c r="AR22" i="21"/>
  <c r="AS22" i="21"/>
  <c r="AT22" i="21"/>
  <c r="AU22" i="21"/>
  <c r="AV22" i="21"/>
  <c r="AW22" i="21"/>
  <c r="AX22" i="21"/>
  <c r="AY22" i="21"/>
  <c r="AZ22" i="21"/>
  <c r="BA22" i="21"/>
  <c r="BB22" i="21"/>
  <c r="BC22" i="21"/>
  <c r="BD22" i="21"/>
  <c r="BE22" i="21"/>
  <c r="BF22" i="21"/>
  <c r="BG22" i="21"/>
  <c r="BH22" i="21"/>
  <c r="BI22" i="21"/>
  <c r="BJ22" i="21"/>
  <c r="BK22" i="21"/>
  <c r="BL22" i="21"/>
  <c r="BM22" i="21"/>
  <c r="BN22" i="21"/>
  <c r="BO22" i="21"/>
  <c r="BP22" i="21"/>
  <c r="D23" i="21"/>
  <c r="AL23" i="21"/>
  <c r="AM23" i="21"/>
  <c r="AN23" i="21"/>
  <c r="AO23" i="21"/>
  <c r="AP23" i="21"/>
  <c r="AQ23" i="21"/>
  <c r="AR23" i="21"/>
  <c r="AS23" i="21"/>
  <c r="AT23" i="21"/>
  <c r="AU23" i="21"/>
  <c r="AV23" i="21"/>
  <c r="AW23" i="21"/>
  <c r="AX23" i="21"/>
  <c r="AY23" i="21"/>
  <c r="AZ23" i="21"/>
  <c r="BA23" i="21"/>
  <c r="BB23" i="21"/>
  <c r="BC23" i="21"/>
  <c r="BD23" i="21"/>
  <c r="BE23" i="21"/>
  <c r="BF23" i="21"/>
  <c r="BG23" i="21"/>
  <c r="BH23" i="21"/>
  <c r="BI23" i="21"/>
  <c r="BJ23" i="21"/>
  <c r="BK23" i="21"/>
  <c r="BL23" i="21"/>
  <c r="BM23" i="21"/>
  <c r="BN23" i="21"/>
  <c r="BO23" i="21"/>
  <c r="BP23" i="21"/>
  <c r="D24" i="21"/>
  <c r="AL24" i="21"/>
  <c r="AM24" i="21"/>
  <c r="AN24" i="21"/>
  <c r="AO24" i="21"/>
  <c r="AP24" i="21"/>
  <c r="AQ24" i="21"/>
  <c r="AR24" i="21"/>
  <c r="AS24" i="21"/>
  <c r="AT24" i="21"/>
  <c r="AU24" i="21"/>
  <c r="AV24" i="21"/>
  <c r="AW24" i="21"/>
  <c r="AX24" i="21"/>
  <c r="AY24" i="21"/>
  <c r="AZ24" i="21"/>
  <c r="BA24" i="21"/>
  <c r="BB24" i="21"/>
  <c r="BC24" i="21"/>
  <c r="BD24" i="21"/>
  <c r="BE24" i="21"/>
  <c r="BF24" i="21"/>
  <c r="BG24" i="21"/>
  <c r="BH24" i="21"/>
  <c r="BI24" i="21"/>
  <c r="BJ24" i="21"/>
  <c r="BK24" i="21"/>
  <c r="BL24" i="21"/>
  <c r="BM24" i="21"/>
  <c r="BN24" i="21"/>
  <c r="BO24" i="21"/>
  <c r="BP24" i="21"/>
  <c r="D25" i="21"/>
  <c r="AL25" i="21"/>
  <c r="AM25" i="21"/>
  <c r="AN25" i="21"/>
  <c r="AO25" i="21"/>
  <c r="AP25" i="21"/>
  <c r="AQ25" i="21"/>
  <c r="AR25" i="21"/>
  <c r="AS25" i="21"/>
  <c r="AT25" i="21"/>
  <c r="AU25" i="21"/>
  <c r="AV25" i="21"/>
  <c r="AW25" i="21"/>
  <c r="AX25" i="21"/>
  <c r="AY25" i="21"/>
  <c r="AZ25" i="21"/>
  <c r="BA25" i="21"/>
  <c r="BB25" i="21"/>
  <c r="BC25" i="21"/>
  <c r="BD25" i="21"/>
  <c r="BE25" i="21"/>
  <c r="BF25" i="21"/>
  <c r="BG25" i="21"/>
  <c r="BH25" i="21"/>
  <c r="BI25" i="21"/>
  <c r="BJ25" i="21"/>
  <c r="BK25" i="21"/>
  <c r="BL25" i="21"/>
  <c r="BM25" i="21"/>
  <c r="BN25" i="21"/>
  <c r="BO25" i="21"/>
  <c r="BP25" i="21"/>
  <c r="B26" i="21"/>
  <c r="BP29" i="21"/>
  <c r="D30" i="21"/>
  <c r="AL30" i="21"/>
  <c r="AM30" i="21"/>
  <c r="AN30" i="21"/>
  <c r="AO30" i="21"/>
  <c r="AP30" i="21"/>
  <c r="AQ30" i="21"/>
  <c r="AR30" i="21"/>
  <c r="AS30" i="21"/>
  <c r="AT30" i="21"/>
  <c r="AU30" i="21"/>
  <c r="AV30" i="21"/>
  <c r="AW30" i="21"/>
  <c r="AX30" i="21"/>
  <c r="AX67" i="21"/>
  <c r="S23" i="22"/>
  <c r="AY30" i="21"/>
  <c r="AZ30" i="21"/>
  <c r="BA30" i="21"/>
  <c r="BB30" i="21"/>
  <c r="BC30" i="21"/>
  <c r="BD30" i="21"/>
  <c r="BE30" i="21"/>
  <c r="BF30" i="21"/>
  <c r="BG30" i="21"/>
  <c r="BH30" i="21"/>
  <c r="BI30" i="21"/>
  <c r="BJ30" i="21"/>
  <c r="BK30" i="21"/>
  <c r="BL30" i="21"/>
  <c r="BM30" i="21"/>
  <c r="BN30" i="21"/>
  <c r="BN67" i="21"/>
  <c r="S39" i="22"/>
  <c r="BO30" i="21"/>
  <c r="BP30" i="21"/>
  <c r="BP31" i="21"/>
  <c r="BP32" i="21"/>
  <c r="BP33" i="21"/>
  <c r="D34" i="21"/>
  <c r="AL34" i="21"/>
  <c r="AM34" i="21"/>
  <c r="AN34" i="21"/>
  <c r="AO34" i="21"/>
  <c r="AP34" i="21"/>
  <c r="AQ34" i="21"/>
  <c r="AR34" i="21"/>
  <c r="AS34" i="21"/>
  <c r="AT34" i="21"/>
  <c r="AU34" i="21"/>
  <c r="AV34" i="21"/>
  <c r="AW34" i="21"/>
  <c r="AX34" i="21"/>
  <c r="AY34" i="21"/>
  <c r="AZ34" i="21"/>
  <c r="BA34" i="21"/>
  <c r="BB34" i="21"/>
  <c r="BC34" i="21"/>
  <c r="BD34" i="21"/>
  <c r="BE34" i="21"/>
  <c r="BF34" i="21"/>
  <c r="BG34" i="21"/>
  <c r="BH34" i="21"/>
  <c r="BI34" i="21"/>
  <c r="BJ34" i="21"/>
  <c r="BK34" i="21"/>
  <c r="BL34" i="21"/>
  <c r="BM34" i="21"/>
  <c r="BN34" i="21"/>
  <c r="BO34" i="21"/>
  <c r="BP34" i="21"/>
  <c r="BP35" i="21"/>
  <c r="B36" i="21"/>
  <c r="BP39" i="21"/>
  <c r="D40" i="21"/>
  <c r="AL40" i="21"/>
  <c r="AM40" i="21"/>
  <c r="AN40" i="21"/>
  <c r="AO40" i="21"/>
  <c r="AP40" i="21"/>
  <c r="AQ40" i="21"/>
  <c r="AR40" i="21"/>
  <c r="AS40" i="21"/>
  <c r="AT40" i="21"/>
  <c r="AU40" i="21"/>
  <c r="AV40" i="21"/>
  <c r="AW40" i="21"/>
  <c r="AX40" i="21"/>
  <c r="AY40" i="21"/>
  <c r="AZ40" i="21"/>
  <c r="BA40" i="21"/>
  <c r="BB40" i="21"/>
  <c r="BC40" i="21"/>
  <c r="BD40" i="21"/>
  <c r="BE40" i="21"/>
  <c r="BF40" i="21"/>
  <c r="BG40" i="21"/>
  <c r="BH40" i="21"/>
  <c r="BI40" i="21"/>
  <c r="BJ40" i="21"/>
  <c r="BK40" i="21"/>
  <c r="BL40" i="21"/>
  <c r="BM40" i="21"/>
  <c r="BN40" i="21"/>
  <c r="BO40" i="21"/>
  <c r="BP40" i="21"/>
  <c r="D41" i="21"/>
  <c r="AL41" i="21"/>
  <c r="AM41" i="21"/>
  <c r="AN41" i="21"/>
  <c r="AO41" i="21"/>
  <c r="AP41" i="21"/>
  <c r="AQ41" i="21"/>
  <c r="AR41" i="21"/>
  <c r="AS41" i="21"/>
  <c r="AT41" i="21"/>
  <c r="AU41" i="21"/>
  <c r="AV41" i="21"/>
  <c r="AW41" i="21"/>
  <c r="AX41" i="21"/>
  <c r="AY41" i="21"/>
  <c r="AZ41" i="21"/>
  <c r="BA41" i="21"/>
  <c r="BB41" i="21"/>
  <c r="BC41" i="21"/>
  <c r="BD41" i="21"/>
  <c r="BE41" i="21"/>
  <c r="BF41" i="21"/>
  <c r="BG41" i="21"/>
  <c r="BH41" i="21"/>
  <c r="BI41" i="21"/>
  <c r="BJ41" i="21"/>
  <c r="BK41" i="21"/>
  <c r="BL41" i="21"/>
  <c r="BM41" i="21"/>
  <c r="BN41" i="21"/>
  <c r="BO41" i="21"/>
  <c r="BP41" i="21"/>
  <c r="BP42" i="21"/>
  <c r="D43" i="21"/>
  <c r="AL43" i="21"/>
  <c r="AM43" i="21"/>
  <c r="AN43" i="21"/>
  <c r="AO43" i="21"/>
  <c r="AP43" i="21"/>
  <c r="AQ43" i="21"/>
  <c r="AR43" i="21"/>
  <c r="AS43" i="21"/>
  <c r="AT43" i="21"/>
  <c r="AU43" i="21"/>
  <c r="AV43" i="21"/>
  <c r="AW43" i="21"/>
  <c r="AX43" i="21"/>
  <c r="AY43" i="21"/>
  <c r="AZ43" i="21"/>
  <c r="BA43" i="21"/>
  <c r="BB43" i="21"/>
  <c r="BC43" i="21"/>
  <c r="BD43" i="21"/>
  <c r="BE43" i="21"/>
  <c r="BF43" i="21"/>
  <c r="BG43" i="21"/>
  <c r="BH43" i="21"/>
  <c r="BI43" i="21"/>
  <c r="BJ43" i="21"/>
  <c r="BK43" i="21"/>
  <c r="BL43" i="21"/>
  <c r="BM43" i="21"/>
  <c r="BN43" i="21"/>
  <c r="BO43" i="21"/>
  <c r="BP43" i="21"/>
  <c r="D44" i="21"/>
  <c r="AL44" i="21"/>
  <c r="AM44" i="21"/>
  <c r="AN44" i="21"/>
  <c r="AO44" i="21"/>
  <c r="AP44" i="21"/>
  <c r="AQ44" i="21"/>
  <c r="AR44" i="21"/>
  <c r="AS44" i="21"/>
  <c r="AT44" i="21"/>
  <c r="AU44" i="21"/>
  <c r="AV44" i="21"/>
  <c r="AW44" i="21"/>
  <c r="AX44" i="21"/>
  <c r="AY44" i="21"/>
  <c r="AZ44" i="21"/>
  <c r="BA44" i="21"/>
  <c r="BB44" i="21"/>
  <c r="BC44" i="21"/>
  <c r="BD44" i="21"/>
  <c r="BE44" i="21"/>
  <c r="BF44" i="21"/>
  <c r="BG44" i="21"/>
  <c r="BH44" i="21"/>
  <c r="BI44" i="21"/>
  <c r="BJ44" i="21"/>
  <c r="BK44" i="21"/>
  <c r="BL44" i="21"/>
  <c r="BM44" i="21"/>
  <c r="BN44" i="21"/>
  <c r="BO44" i="21"/>
  <c r="BP44" i="21"/>
  <c r="B45" i="21"/>
  <c r="D48" i="21"/>
  <c r="AL48" i="21"/>
  <c r="AM48" i="21"/>
  <c r="AN48" i="21"/>
  <c r="AO48" i="21"/>
  <c r="AP48" i="21"/>
  <c r="AQ48" i="21"/>
  <c r="AR48" i="21"/>
  <c r="AS48" i="21"/>
  <c r="AT48" i="21"/>
  <c r="AU48" i="21"/>
  <c r="AV48" i="21"/>
  <c r="AW48" i="21"/>
  <c r="AX48" i="21"/>
  <c r="AY48" i="21"/>
  <c r="AZ48" i="21"/>
  <c r="BA48" i="21"/>
  <c r="BB48" i="21"/>
  <c r="BC48" i="21"/>
  <c r="BD48" i="21"/>
  <c r="BE48" i="21"/>
  <c r="BF48" i="21"/>
  <c r="BG48" i="21"/>
  <c r="BH48" i="21"/>
  <c r="BI48" i="21"/>
  <c r="BJ48" i="21"/>
  <c r="BK48" i="21"/>
  <c r="BL48" i="21"/>
  <c r="BM48" i="21"/>
  <c r="BN48" i="21"/>
  <c r="BO48" i="21"/>
  <c r="BP48" i="21"/>
  <c r="D49" i="21"/>
  <c r="AL49" i="21"/>
  <c r="AM49" i="21"/>
  <c r="AN49" i="21"/>
  <c r="AO49" i="21"/>
  <c r="AP49" i="21"/>
  <c r="AQ49" i="21"/>
  <c r="AR49" i="21"/>
  <c r="AS49" i="21"/>
  <c r="AT49" i="21"/>
  <c r="AU49" i="21"/>
  <c r="AV49" i="21"/>
  <c r="AW49" i="21"/>
  <c r="AX49" i="21"/>
  <c r="AY49" i="21"/>
  <c r="AZ49" i="21"/>
  <c r="BA49" i="21"/>
  <c r="BB49" i="21"/>
  <c r="BC49" i="21"/>
  <c r="BD49" i="21"/>
  <c r="BE49" i="21"/>
  <c r="BF49" i="21"/>
  <c r="BG49" i="21"/>
  <c r="BH49" i="21"/>
  <c r="BI49" i="21"/>
  <c r="BJ49" i="21"/>
  <c r="BK49" i="21"/>
  <c r="BL49" i="21"/>
  <c r="BM49" i="21"/>
  <c r="BN49" i="21"/>
  <c r="BO49" i="21"/>
  <c r="BP49" i="21"/>
  <c r="D50" i="21"/>
  <c r="AL50" i="21"/>
  <c r="AM50" i="21"/>
  <c r="AN50" i="21"/>
  <c r="AO50" i="21"/>
  <c r="AP50" i="21"/>
  <c r="AQ50" i="21"/>
  <c r="AR50" i="21"/>
  <c r="AS50" i="21"/>
  <c r="AT50" i="21"/>
  <c r="AU50" i="21"/>
  <c r="AV50" i="21"/>
  <c r="AW50" i="21"/>
  <c r="AX50" i="21"/>
  <c r="AY50" i="21"/>
  <c r="AZ50" i="21"/>
  <c r="BA50" i="21"/>
  <c r="BB50" i="21"/>
  <c r="BC50" i="21"/>
  <c r="BD50" i="21"/>
  <c r="BE50" i="21"/>
  <c r="BF50" i="21"/>
  <c r="BG50" i="21"/>
  <c r="BH50" i="21"/>
  <c r="BI50" i="21"/>
  <c r="BJ50" i="21"/>
  <c r="BK50" i="21"/>
  <c r="BL50" i="21"/>
  <c r="BM50" i="21"/>
  <c r="BN50" i="21"/>
  <c r="BO50" i="21"/>
  <c r="BP50" i="21"/>
  <c r="B51" i="21"/>
  <c r="D51" i="21"/>
  <c r="D54" i="21"/>
  <c r="D57" i="21"/>
  <c r="AL54" i="21"/>
  <c r="AM54" i="21"/>
  <c r="AN54" i="21"/>
  <c r="AO54" i="21"/>
  <c r="AP54" i="21"/>
  <c r="AQ54" i="21"/>
  <c r="AR54" i="21"/>
  <c r="AS54" i="21"/>
  <c r="AT54" i="21"/>
  <c r="AU54" i="21"/>
  <c r="AV54" i="21"/>
  <c r="AW54" i="21"/>
  <c r="AX54" i="21"/>
  <c r="AY54" i="21"/>
  <c r="AZ54" i="21"/>
  <c r="BA54" i="21"/>
  <c r="BB54" i="21"/>
  <c r="BC54" i="21"/>
  <c r="BD54" i="21"/>
  <c r="BE54" i="21"/>
  <c r="BF54" i="21"/>
  <c r="BG54" i="21"/>
  <c r="BH54" i="21"/>
  <c r="BI54" i="21"/>
  <c r="BJ54" i="21"/>
  <c r="BK54" i="21"/>
  <c r="BL54" i="21"/>
  <c r="BM54" i="21"/>
  <c r="BN54" i="21"/>
  <c r="BO54" i="21"/>
  <c r="BP54" i="21"/>
  <c r="D55" i="21"/>
  <c r="AL55" i="21"/>
  <c r="AM55" i="21"/>
  <c r="AN55" i="21"/>
  <c r="AO55" i="21"/>
  <c r="AP55" i="21"/>
  <c r="AQ55" i="21"/>
  <c r="AR55" i="21"/>
  <c r="AS55" i="21"/>
  <c r="AT55" i="21"/>
  <c r="AU55" i="21"/>
  <c r="AV55" i="21"/>
  <c r="AW55" i="21"/>
  <c r="AX55" i="21"/>
  <c r="AY55" i="21"/>
  <c r="AZ55" i="21"/>
  <c r="BA55" i="21"/>
  <c r="BB55" i="21"/>
  <c r="BC55" i="21"/>
  <c r="BD55" i="21"/>
  <c r="BE55" i="21"/>
  <c r="BF55" i="21"/>
  <c r="BG55" i="21"/>
  <c r="BH55" i="21"/>
  <c r="BI55" i="21"/>
  <c r="BJ55" i="21"/>
  <c r="BK55" i="21"/>
  <c r="BL55" i="21"/>
  <c r="BM55" i="21"/>
  <c r="BN55" i="21"/>
  <c r="BO55" i="21"/>
  <c r="BP55" i="21"/>
  <c r="D56" i="21"/>
  <c r="AL56" i="21"/>
  <c r="AM56" i="21"/>
  <c r="AN56" i="21"/>
  <c r="AO56" i="21"/>
  <c r="AP56" i="21"/>
  <c r="AQ56" i="21"/>
  <c r="AR56" i="21"/>
  <c r="AS56" i="21"/>
  <c r="AT56" i="21"/>
  <c r="AU56" i="21"/>
  <c r="AV56" i="21"/>
  <c r="AW56" i="21"/>
  <c r="AX56" i="21"/>
  <c r="AY56" i="21"/>
  <c r="AZ56" i="21"/>
  <c r="BA56" i="21"/>
  <c r="BB56" i="21"/>
  <c r="BC56" i="21"/>
  <c r="BD56" i="21"/>
  <c r="BE56" i="21"/>
  <c r="BF56" i="21"/>
  <c r="BG56" i="21"/>
  <c r="BH56" i="21"/>
  <c r="BI56" i="21"/>
  <c r="BJ56" i="21"/>
  <c r="BK56" i="21"/>
  <c r="BL56" i="21"/>
  <c r="BM56" i="21"/>
  <c r="BN56" i="21"/>
  <c r="BO56" i="21"/>
  <c r="BP56" i="21"/>
  <c r="B57" i="21"/>
  <c r="B67" i="21"/>
  <c r="D60" i="21"/>
  <c r="AL60" i="21"/>
  <c r="AM60" i="21"/>
  <c r="AN60" i="21"/>
  <c r="AO60" i="21"/>
  <c r="AP60" i="21"/>
  <c r="AQ60" i="21"/>
  <c r="AR60" i="21"/>
  <c r="AS60" i="21"/>
  <c r="AT60" i="21"/>
  <c r="AU60" i="21"/>
  <c r="AV60" i="21"/>
  <c r="AW60" i="21"/>
  <c r="AX60" i="21"/>
  <c r="AY60" i="21"/>
  <c r="AZ60" i="21"/>
  <c r="BA60" i="21"/>
  <c r="BB60" i="21"/>
  <c r="BC60" i="21"/>
  <c r="BD60" i="21"/>
  <c r="BE60" i="21"/>
  <c r="BF60" i="21"/>
  <c r="BG60" i="21"/>
  <c r="BH60" i="21"/>
  <c r="BI60" i="21"/>
  <c r="BJ60" i="21"/>
  <c r="BK60" i="21"/>
  <c r="BL60" i="21"/>
  <c r="BM60" i="21"/>
  <c r="BN60" i="21"/>
  <c r="BO60" i="21"/>
  <c r="BP60" i="21"/>
  <c r="D61" i="21"/>
  <c r="AL61" i="21"/>
  <c r="AM61" i="21"/>
  <c r="AN61" i="21"/>
  <c r="AO61" i="21"/>
  <c r="AP61" i="21"/>
  <c r="AQ61" i="21"/>
  <c r="AR61" i="21"/>
  <c r="AS61" i="21"/>
  <c r="AT61" i="21"/>
  <c r="AU61" i="21"/>
  <c r="AV61" i="21"/>
  <c r="AW61" i="21"/>
  <c r="AX61" i="21"/>
  <c r="AY61" i="21"/>
  <c r="AZ61" i="21"/>
  <c r="BA61" i="21"/>
  <c r="BB61" i="21"/>
  <c r="BC61" i="21"/>
  <c r="BD61" i="21"/>
  <c r="BE61" i="21"/>
  <c r="BF61" i="21"/>
  <c r="BG61" i="21"/>
  <c r="BH61" i="21"/>
  <c r="BI61" i="21"/>
  <c r="BJ61" i="21"/>
  <c r="BK61" i="21"/>
  <c r="BL61" i="21"/>
  <c r="BM61" i="21"/>
  <c r="BN61" i="21"/>
  <c r="BO61" i="21"/>
  <c r="BP61" i="21"/>
  <c r="B62" i="21"/>
  <c r="D62" i="21"/>
  <c r="BP65" i="21"/>
  <c r="B68" i="21"/>
  <c r="B18" i="20"/>
  <c r="Q12" i="22"/>
  <c r="Q13" i="22"/>
  <c r="Q14" i="22"/>
  <c r="Q15" i="22"/>
  <c r="Q16" i="22"/>
  <c r="Q17" i="22"/>
  <c r="Q18" i="22"/>
  <c r="Q19" i="22"/>
  <c r="Q20" i="22"/>
  <c r="Q21" i="22"/>
  <c r="Q22" i="22"/>
  <c r="Q23" i="22"/>
  <c r="Q24" i="22"/>
  <c r="Q25" i="22"/>
  <c r="Q26" i="22"/>
  <c r="Q27" i="22"/>
  <c r="Q28" i="22"/>
  <c r="Q29" i="22"/>
  <c r="Q30" i="22"/>
  <c r="Q31" i="22"/>
  <c r="Q32" i="22"/>
  <c r="Q33" i="22"/>
  <c r="Q34" i="22"/>
  <c r="Q35" i="22"/>
  <c r="Q36" i="22"/>
  <c r="Q37" i="22"/>
  <c r="Q38" i="22"/>
  <c r="Q39" i="22"/>
  <c r="Q40" i="22"/>
  <c r="Q41" i="22"/>
  <c r="B22" i="20"/>
  <c r="I83" i="19"/>
  <c r="I79" i="19"/>
  <c r="I77" i="19"/>
  <c r="I76" i="19"/>
  <c r="I75" i="19"/>
  <c r="I74" i="19"/>
  <c r="I73" i="19"/>
  <c r="K73" i="19"/>
  <c r="J73" i="19"/>
  <c r="I72" i="19"/>
  <c r="G71" i="19"/>
  <c r="D5" i="19"/>
  <c r="G70" i="19"/>
  <c r="G69" i="19"/>
  <c r="H57" i="19"/>
  <c r="H56" i="19"/>
  <c r="K56" i="19"/>
  <c r="H53" i="19"/>
  <c r="F53" i="19"/>
  <c r="H52" i="19"/>
  <c r="H51" i="19"/>
  <c r="F51" i="19"/>
  <c r="G51" i="19"/>
  <c r="H48" i="19"/>
  <c r="F48" i="19"/>
  <c r="H47" i="19"/>
  <c r="K47" i="19"/>
  <c r="J47" i="19"/>
  <c r="F47" i="19"/>
  <c r="H46" i="19"/>
  <c r="F46" i="19"/>
  <c r="G46" i="19"/>
  <c r="K46" i="19"/>
  <c r="J46" i="19"/>
  <c r="H45" i="19"/>
  <c r="F45" i="19"/>
  <c r="H42" i="19"/>
  <c r="H41" i="19"/>
  <c r="H40" i="19"/>
  <c r="H37" i="19"/>
  <c r="H35" i="19"/>
  <c r="H34" i="19"/>
  <c r="H33" i="19"/>
  <c r="H32" i="19"/>
  <c r="H31" i="19"/>
  <c r="K31" i="19"/>
  <c r="J31" i="19"/>
  <c r="H30" i="19"/>
  <c r="H25" i="19"/>
  <c r="H27" i="19"/>
  <c r="K27" i="19"/>
  <c r="H22" i="19"/>
  <c r="H21" i="19"/>
  <c r="K21" i="19"/>
  <c r="J21" i="19"/>
  <c r="H20" i="19"/>
  <c r="D7" i="19"/>
  <c r="H14" i="19"/>
  <c r="K76" i="19"/>
  <c r="J76" i="19"/>
  <c r="I81" i="19"/>
  <c r="I82" i="19"/>
  <c r="K57" i="19"/>
  <c r="L23" i="22"/>
  <c r="L24" i="22"/>
  <c r="L25" i="22"/>
  <c r="L26" i="22"/>
  <c r="L27" i="22"/>
  <c r="L28" i="22"/>
  <c r="L29" i="22"/>
  <c r="L30" i="22"/>
  <c r="L31" i="22"/>
  <c r="L32" i="22"/>
  <c r="L33" i="22"/>
  <c r="L34" i="22"/>
  <c r="L35" i="22"/>
  <c r="L36" i="22"/>
  <c r="L37" i="22"/>
  <c r="L38" i="22"/>
  <c r="L39" i="22"/>
  <c r="L40" i="22"/>
  <c r="L41" i="22"/>
  <c r="K51" i="19"/>
  <c r="G52" i="19"/>
  <c r="K52" i="19"/>
  <c r="J52" i="19"/>
  <c r="G53" i="19"/>
  <c r="K53" i="19"/>
  <c r="J53" i="19"/>
  <c r="G45" i="19"/>
  <c r="G47" i="19"/>
  <c r="G48" i="19"/>
  <c r="K48" i="19"/>
  <c r="J48" i="19"/>
  <c r="G40" i="19"/>
  <c r="K40" i="19"/>
  <c r="K43" i="19"/>
  <c r="G41" i="19"/>
  <c r="K41" i="19"/>
  <c r="J41" i="19"/>
  <c r="G42" i="19"/>
  <c r="K42" i="19"/>
  <c r="G30" i="19"/>
  <c r="G31" i="19"/>
  <c r="G32" i="19"/>
  <c r="K32" i="19"/>
  <c r="G33" i="19"/>
  <c r="G34" i="19"/>
  <c r="G35" i="19"/>
  <c r="K35" i="19"/>
  <c r="J35" i="19"/>
  <c r="G36" i="19"/>
  <c r="G37" i="19"/>
  <c r="K37" i="19"/>
  <c r="J37" i="19"/>
  <c r="G25" i="19"/>
  <c r="K25" i="19"/>
  <c r="G26" i="19"/>
  <c r="G27" i="19"/>
  <c r="K20" i="19"/>
  <c r="K23" i="19"/>
  <c r="K22" i="19"/>
  <c r="J20" i="19"/>
  <c r="J22" i="19"/>
  <c r="J27" i="19"/>
  <c r="J32" i="19"/>
  <c r="J42" i="19"/>
  <c r="J51" i="19"/>
  <c r="I83" i="18"/>
  <c r="I79" i="18"/>
  <c r="I77" i="18"/>
  <c r="I76" i="18"/>
  <c r="I75" i="18"/>
  <c r="I74" i="18"/>
  <c r="I73" i="18"/>
  <c r="I72" i="18"/>
  <c r="G71" i="18"/>
  <c r="D5" i="18"/>
  <c r="G70" i="18"/>
  <c r="G69" i="18"/>
  <c r="H57" i="18"/>
  <c r="H56" i="18"/>
  <c r="K56" i="18"/>
  <c r="J56" i="18"/>
  <c r="H53" i="18"/>
  <c r="F53" i="18"/>
  <c r="H52" i="18"/>
  <c r="H51" i="18"/>
  <c r="F51" i="18"/>
  <c r="H48" i="18"/>
  <c r="F48" i="18"/>
  <c r="G48" i="18"/>
  <c r="H47" i="18"/>
  <c r="F47" i="18"/>
  <c r="H46" i="18"/>
  <c r="F46" i="18"/>
  <c r="G46" i="18"/>
  <c r="H45" i="18"/>
  <c r="F45" i="18"/>
  <c r="H42" i="18"/>
  <c r="H41" i="18"/>
  <c r="H40" i="18"/>
  <c r="H37" i="18"/>
  <c r="H35" i="18"/>
  <c r="H34" i="18"/>
  <c r="H33" i="18"/>
  <c r="H32" i="18"/>
  <c r="H31" i="18"/>
  <c r="H30" i="18"/>
  <c r="H25" i="18"/>
  <c r="H26" i="18"/>
  <c r="K26" i="18"/>
  <c r="J26" i="18"/>
  <c r="H22" i="18"/>
  <c r="H21" i="18"/>
  <c r="K21" i="18"/>
  <c r="H20" i="18"/>
  <c r="K20" i="18"/>
  <c r="J20" i="18"/>
  <c r="I81" i="18"/>
  <c r="I82" i="18"/>
  <c r="K57" i="18"/>
  <c r="J57" i="18"/>
  <c r="G51" i="18"/>
  <c r="G52" i="18"/>
  <c r="K52" i="18"/>
  <c r="J52" i="18"/>
  <c r="G53" i="18"/>
  <c r="G45" i="18"/>
  <c r="K45" i="18"/>
  <c r="J45" i="18"/>
  <c r="K46" i="18"/>
  <c r="G47" i="18"/>
  <c r="K48" i="18"/>
  <c r="J48" i="18"/>
  <c r="G40" i="18"/>
  <c r="G41" i="18"/>
  <c r="K41" i="18"/>
  <c r="G42" i="18"/>
  <c r="K42" i="18"/>
  <c r="J42" i="18"/>
  <c r="G30" i="18"/>
  <c r="K30" i="18"/>
  <c r="G31" i="18"/>
  <c r="K31" i="18"/>
  <c r="J31" i="18"/>
  <c r="G32" i="18"/>
  <c r="K32" i="18"/>
  <c r="J32" i="18"/>
  <c r="G33" i="18"/>
  <c r="K33" i="18"/>
  <c r="J33" i="18"/>
  <c r="G34" i="18"/>
  <c r="K34" i="18"/>
  <c r="G35" i="18"/>
  <c r="K35" i="18"/>
  <c r="J35" i="18"/>
  <c r="G36" i="18"/>
  <c r="G37" i="18"/>
  <c r="K37" i="18"/>
  <c r="J37" i="18"/>
  <c r="G25" i="18"/>
  <c r="G26" i="18"/>
  <c r="G27" i="18"/>
  <c r="K22" i="18"/>
  <c r="J22" i="18"/>
  <c r="J34" i="18"/>
  <c r="J41" i="18"/>
  <c r="J46" i="18"/>
  <c r="I83" i="17"/>
  <c r="I79" i="17"/>
  <c r="I77" i="17"/>
  <c r="I76" i="17"/>
  <c r="I75" i="17"/>
  <c r="I74" i="17"/>
  <c r="I73" i="17"/>
  <c r="I72" i="17"/>
  <c r="G71" i="17"/>
  <c r="D5" i="17"/>
  <c r="G70" i="17"/>
  <c r="G69" i="17"/>
  <c r="H57" i="17"/>
  <c r="H56" i="17"/>
  <c r="K56" i="17"/>
  <c r="H53" i="17"/>
  <c r="F53" i="17"/>
  <c r="G53" i="17"/>
  <c r="K53" i="17"/>
  <c r="J53" i="17"/>
  <c r="H52" i="17"/>
  <c r="H51" i="17"/>
  <c r="K51" i="17"/>
  <c r="F51" i="17"/>
  <c r="H48" i="17"/>
  <c r="H47" i="17"/>
  <c r="F47" i="17"/>
  <c r="G47" i="17"/>
  <c r="K47" i="17"/>
  <c r="J47" i="17"/>
  <c r="H46" i="17"/>
  <c r="H45" i="17"/>
  <c r="F45" i="17"/>
  <c r="H42" i="17"/>
  <c r="K42" i="17"/>
  <c r="H41" i="17"/>
  <c r="H40" i="17"/>
  <c r="K40" i="17"/>
  <c r="H37" i="17"/>
  <c r="H35" i="17"/>
  <c r="H34" i="17"/>
  <c r="H33" i="17"/>
  <c r="H32" i="17"/>
  <c r="K32" i="17"/>
  <c r="J32" i="17"/>
  <c r="H31" i="17"/>
  <c r="H30" i="17"/>
  <c r="H25" i="17"/>
  <c r="H26" i="17"/>
  <c r="H22" i="17"/>
  <c r="K22" i="17"/>
  <c r="J22" i="17"/>
  <c r="H21" i="17"/>
  <c r="H20" i="17"/>
  <c r="K20" i="17"/>
  <c r="K23" i="17"/>
  <c r="I81" i="17"/>
  <c r="I82" i="17"/>
  <c r="K57" i="17"/>
  <c r="L21" i="22"/>
  <c r="G51" i="17"/>
  <c r="G45" i="17"/>
  <c r="K45" i="17"/>
  <c r="G40" i="17"/>
  <c r="G42" i="17"/>
  <c r="G30" i="17"/>
  <c r="K30" i="17"/>
  <c r="G31" i="17"/>
  <c r="K31" i="17"/>
  <c r="G32" i="17"/>
  <c r="G33" i="17"/>
  <c r="G34" i="17"/>
  <c r="K34" i="17"/>
  <c r="J34" i="17"/>
  <c r="G35" i="17"/>
  <c r="K35" i="17"/>
  <c r="G36" i="17"/>
  <c r="G37" i="17"/>
  <c r="G25" i="17"/>
  <c r="K25" i="17"/>
  <c r="G26" i="17"/>
  <c r="K26" i="17"/>
  <c r="J26" i="17"/>
  <c r="H27" i="17"/>
  <c r="K21" i="17"/>
  <c r="J20" i="17"/>
  <c r="J30" i="17"/>
  <c r="J31" i="17"/>
  <c r="J35" i="17"/>
  <c r="J42" i="17"/>
  <c r="J56" i="17"/>
  <c r="J57" i="17"/>
  <c r="I83" i="16"/>
  <c r="I79" i="16"/>
  <c r="I77" i="16"/>
  <c r="I76" i="16"/>
  <c r="I75" i="16"/>
  <c r="I74" i="16"/>
  <c r="I73" i="16"/>
  <c r="I72" i="16"/>
  <c r="G71" i="16"/>
  <c r="D5" i="16"/>
  <c r="G70" i="16"/>
  <c r="G69" i="16"/>
  <c r="H57" i="16"/>
  <c r="K57" i="16"/>
  <c r="H56" i="16"/>
  <c r="H53" i="16"/>
  <c r="K53" i="16"/>
  <c r="F53" i="16"/>
  <c r="H52" i="16"/>
  <c r="K52" i="16"/>
  <c r="J52" i="16"/>
  <c r="H51" i="16"/>
  <c r="F51" i="16"/>
  <c r="H48" i="16"/>
  <c r="F48" i="16"/>
  <c r="G48" i="16"/>
  <c r="K48" i="16"/>
  <c r="J48" i="16"/>
  <c r="H47" i="16"/>
  <c r="F47" i="16"/>
  <c r="G47" i="16"/>
  <c r="K47" i="16"/>
  <c r="H46" i="16"/>
  <c r="F46" i="16"/>
  <c r="G46" i="16"/>
  <c r="K46" i="16"/>
  <c r="J46" i="16"/>
  <c r="H45" i="16"/>
  <c r="F45" i="16"/>
  <c r="G45" i="16"/>
  <c r="H42" i="16"/>
  <c r="H41" i="16"/>
  <c r="K41" i="16"/>
  <c r="J41" i="16"/>
  <c r="H40" i="16"/>
  <c r="H37" i="16"/>
  <c r="H35" i="16"/>
  <c r="H34" i="16"/>
  <c r="H33" i="16"/>
  <c r="H32" i="16"/>
  <c r="H31" i="16"/>
  <c r="H30" i="16"/>
  <c r="H25" i="16"/>
  <c r="H22" i="16"/>
  <c r="H21" i="16"/>
  <c r="H20" i="16"/>
  <c r="I81" i="16"/>
  <c r="I82" i="16"/>
  <c r="K56" i="16"/>
  <c r="G51" i="16"/>
  <c r="K51" i="16"/>
  <c r="G52" i="16"/>
  <c r="G53" i="16"/>
  <c r="K45" i="16"/>
  <c r="J45" i="16"/>
  <c r="G40" i="16"/>
  <c r="K40" i="16"/>
  <c r="J40" i="16"/>
  <c r="G41" i="16"/>
  <c r="G42" i="16"/>
  <c r="K42" i="16"/>
  <c r="J42" i="16"/>
  <c r="G30" i="16"/>
  <c r="K30" i="16"/>
  <c r="G31" i="16"/>
  <c r="K31" i="16"/>
  <c r="J31" i="16"/>
  <c r="G32" i="16"/>
  <c r="K32" i="16"/>
  <c r="J32" i="16"/>
  <c r="G33" i="16"/>
  <c r="K33" i="16"/>
  <c r="J33" i="16"/>
  <c r="G34" i="16"/>
  <c r="K34" i="16"/>
  <c r="J34" i="16"/>
  <c r="G35" i="16"/>
  <c r="K35" i="16"/>
  <c r="G36" i="16"/>
  <c r="G37" i="16"/>
  <c r="K37" i="16"/>
  <c r="J37" i="16"/>
  <c r="G25" i="16"/>
  <c r="H26" i="16"/>
  <c r="G26" i="16"/>
  <c r="K26" i="16"/>
  <c r="J26" i="16"/>
  <c r="G27" i="16"/>
  <c r="K20" i="16"/>
  <c r="K21" i="16"/>
  <c r="K22" i="16"/>
  <c r="J20" i="16"/>
  <c r="J22" i="16"/>
  <c r="J35" i="16"/>
  <c r="J47" i="16"/>
  <c r="J51" i="16"/>
  <c r="J53" i="16"/>
  <c r="J56" i="16"/>
  <c r="I77" i="15"/>
  <c r="I76" i="15"/>
  <c r="I75" i="15"/>
  <c r="I74" i="15"/>
  <c r="I73" i="15"/>
  <c r="I72" i="15"/>
  <c r="G71" i="15"/>
  <c r="D5" i="15"/>
  <c r="G70" i="15"/>
  <c r="G69" i="15"/>
  <c r="H57" i="15"/>
  <c r="H56" i="15"/>
  <c r="H53" i="15"/>
  <c r="F53" i="15"/>
  <c r="G53" i="15"/>
  <c r="K53" i="15"/>
  <c r="J53" i="15"/>
  <c r="H52" i="15"/>
  <c r="H51" i="15"/>
  <c r="H48" i="15"/>
  <c r="H47" i="15"/>
  <c r="H46" i="15"/>
  <c r="H45" i="15"/>
  <c r="H42" i="15"/>
  <c r="H41" i="15"/>
  <c r="H40" i="15"/>
  <c r="H37" i="15"/>
  <c r="H35" i="15"/>
  <c r="H34" i="15"/>
  <c r="H33" i="15"/>
  <c r="H32" i="15"/>
  <c r="H31" i="15"/>
  <c r="H30" i="15"/>
  <c r="H25" i="15"/>
  <c r="H22" i="15"/>
  <c r="H21" i="15"/>
  <c r="H20" i="15"/>
  <c r="I79" i="15"/>
  <c r="I81" i="15"/>
  <c r="I82" i="15"/>
  <c r="I83" i="15"/>
  <c r="K57" i="15"/>
  <c r="L19" i="22"/>
  <c r="K56" i="15"/>
  <c r="G30" i="15"/>
  <c r="G31" i="15"/>
  <c r="K31" i="15"/>
  <c r="J31" i="15"/>
  <c r="G32" i="15"/>
  <c r="G33" i="15"/>
  <c r="K33" i="15"/>
  <c r="J33" i="15"/>
  <c r="G34" i="15"/>
  <c r="G35" i="15"/>
  <c r="K35" i="15"/>
  <c r="J35" i="15"/>
  <c r="G36" i="15"/>
  <c r="G37" i="15"/>
  <c r="K37" i="15"/>
  <c r="J37" i="15"/>
  <c r="H26" i="15"/>
  <c r="K26" i="15"/>
  <c r="G26" i="15"/>
  <c r="H27" i="15"/>
  <c r="K20" i="15"/>
  <c r="J20" i="15"/>
  <c r="K21" i="15"/>
  <c r="K22" i="15"/>
  <c r="J22" i="15"/>
  <c r="J26" i="15"/>
  <c r="I77" i="14"/>
  <c r="I76" i="14"/>
  <c r="I75" i="14"/>
  <c r="I74" i="14"/>
  <c r="I73" i="14"/>
  <c r="I72" i="14"/>
  <c r="G71" i="14"/>
  <c r="D5" i="14"/>
  <c r="G31" i="14"/>
  <c r="K31" i="14"/>
  <c r="J31" i="14"/>
  <c r="G70" i="14"/>
  <c r="G69" i="14"/>
  <c r="H57" i="14"/>
  <c r="H56" i="14"/>
  <c r="H53" i="14"/>
  <c r="F53" i="14"/>
  <c r="H52" i="14"/>
  <c r="H51" i="14"/>
  <c r="F51" i="14"/>
  <c r="H48" i="14"/>
  <c r="F48" i="14"/>
  <c r="G48" i="14"/>
  <c r="H47" i="14"/>
  <c r="F47" i="14"/>
  <c r="H46" i="14"/>
  <c r="F46" i="14"/>
  <c r="G46" i="14"/>
  <c r="K46" i="14"/>
  <c r="J46" i="14"/>
  <c r="H45" i="14"/>
  <c r="F45" i="14"/>
  <c r="G45" i="14"/>
  <c r="H42" i="14"/>
  <c r="H41" i="14"/>
  <c r="K41" i="14"/>
  <c r="H40" i="14"/>
  <c r="H37" i="14"/>
  <c r="K37" i="14"/>
  <c r="J37" i="14"/>
  <c r="H35" i="14"/>
  <c r="H34" i="14"/>
  <c r="H33" i="14"/>
  <c r="H32" i="14"/>
  <c r="H31" i="14"/>
  <c r="H30" i="14"/>
  <c r="H25" i="14"/>
  <c r="H22" i="14"/>
  <c r="H21" i="14"/>
  <c r="H20" i="14"/>
  <c r="I79" i="14"/>
  <c r="I81" i="14"/>
  <c r="I82" i="14"/>
  <c r="I83" i="14"/>
  <c r="K57" i="14"/>
  <c r="K56" i="14"/>
  <c r="J56" i="14"/>
  <c r="G51" i="14"/>
  <c r="K51" i="14"/>
  <c r="G52" i="14"/>
  <c r="K52" i="14"/>
  <c r="G53" i="14"/>
  <c r="K45" i="14"/>
  <c r="G47" i="14"/>
  <c r="K47" i="14"/>
  <c r="K48" i="14"/>
  <c r="J48" i="14"/>
  <c r="G40" i="14"/>
  <c r="K40" i="14"/>
  <c r="G41" i="14"/>
  <c r="G42" i="14"/>
  <c r="G30" i="14"/>
  <c r="K30" i="14"/>
  <c r="J30" i="14"/>
  <c r="G32" i="14"/>
  <c r="K32" i="14"/>
  <c r="J32" i="14"/>
  <c r="G34" i="14"/>
  <c r="K34" i="14"/>
  <c r="G36" i="14"/>
  <c r="G37" i="14"/>
  <c r="G25" i="14"/>
  <c r="H26" i="14"/>
  <c r="G26" i="14"/>
  <c r="K26" i="14"/>
  <c r="J26" i="14"/>
  <c r="G27" i="14"/>
  <c r="K20" i="14"/>
  <c r="K21" i="14"/>
  <c r="K23" i="14"/>
  <c r="E18" i="22"/>
  <c r="K22" i="14"/>
  <c r="J22" i="14"/>
  <c r="J20" i="14"/>
  <c r="J21" i="14"/>
  <c r="J34" i="14"/>
  <c r="J40" i="14"/>
  <c r="J47" i="14"/>
  <c r="J51" i="14"/>
  <c r="I77" i="13"/>
  <c r="I76" i="13"/>
  <c r="I75" i="13"/>
  <c r="I74" i="13"/>
  <c r="I73" i="13"/>
  <c r="I72" i="13"/>
  <c r="G71" i="13"/>
  <c r="D5" i="13"/>
  <c r="G70" i="13"/>
  <c r="G69" i="13"/>
  <c r="H57" i="13"/>
  <c r="K57" i="13"/>
  <c r="H56" i="13"/>
  <c r="K56" i="13"/>
  <c r="H53" i="13"/>
  <c r="F53" i="13"/>
  <c r="H52" i="13"/>
  <c r="K52" i="13"/>
  <c r="J52" i="13"/>
  <c r="H51" i="13"/>
  <c r="F51" i="13"/>
  <c r="H48" i="13"/>
  <c r="F48" i="13"/>
  <c r="G48" i="13"/>
  <c r="K48" i="13"/>
  <c r="J48" i="13"/>
  <c r="H47" i="13"/>
  <c r="F47" i="13"/>
  <c r="G47" i="13"/>
  <c r="H46" i="13"/>
  <c r="F46" i="13"/>
  <c r="G46" i="13"/>
  <c r="K46" i="13"/>
  <c r="J46" i="13"/>
  <c r="H45" i="13"/>
  <c r="F45" i="13"/>
  <c r="G45" i="13"/>
  <c r="H42" i="13"/>
  <c r="H41" i="13"/>
  <c r="K41" i="13"/>
  <c r="J41" i="13"/>
  <c r="H40" i="13"/>
  <c r="H37" i="13"/>
  <c r="H35" i="13"/>
  <c r="K35" i="13"/>
  <c r="H34" i="13"/>
  <c r="H33" i="13"/>
  <c r="H32" i="13"/>
  <c r="H31" i="13"/>
  <c r="K31" i="13"/>
  <c r="H30" i="13"/>
  <c r="H25" i="13"/>
  <c r="H22" i="13"/>
  <c r="H21" i="13"/>
  <c r="K21" i="13"/>
  <c r="J21" i="13"/>
  <c r="H20" i="13"/>
  <c r="I79" i="13"/>
  <c r="I81" i="13"/>
  <c r="I82" i="13"/>
  <c r="I83" i="13"/>
  <c r="G51" i="13"/>
  <c r="K51" i="13"/>
  <c r="G52" i="13"/>
  <c r="G53" i="13"/>
  <c r="K53" i="13"/>
  <c r="J53" i="13"/>
  <c r="K45" i="13"/>
  <c r="K47" i="13"/>
  <c r="G40" i="13"/>
  <c r="K40" i="13"/>
  <c r="G41" i="13"/>
  <c r="G42" i="13"/>
  <c r="K42" i="13"/>
  <c r="J42" i="13"/>
  <c r="G30" i="13"/>
  <c r="K30" i="13"/>
  <c r="G31" i="13"/>
  <c r="G32" i="13"/>
  <c r="K32" i="13"/>
  <c r="J32" i="13"/>
  <c r="G33" i="13"/>
  <c r="K33" i="13"/>
  <c r="G34" i="13"/>
  <c r="K34" i="13"/>
  <c r="J34" i="13"/>
  <c r="G35" i="13"/>
  <c r="G36" i="13"/>
  <c r="G37" i="13"/>
  <c r="K37" i="13"/>
  <c r="G25" i="13"/>
  <c r="K25" i="13"/>
  <c r="K28" i="13"/>
  <c r="H26" i="13"/>
  <c r="G26" i="13"/>
  <c r="K26" i="13"/>
  <c r="J26" i="13"/>
  <c r="H27" i="13"/>
  <c r="K27" i="13"/>
  <c r="J27" i="13"/>
  <c r="G27" i="13"/>
  <c r="K20" i="13"/>
  <c r="K22" i="13"/>
  <c r="K23" i="13"/>
  <c r="J20" i="13"/>
  <c r="J22" i="13"/>
  <c r="J25" i="13"/>
  <c r="J31" i="13"/>
  <c r="J33" i="13"/>
  <c r="J35" i="13"/>
  <c r="J37" i="13"/>
  <c r="J47" i="13"/>
  <c r="D7" i="12"/>
  <c r="D65" i="12"/>
  <c r="F71" i="12"/>
  <c r="D63" i="12"/>
  <c r="D64" i="12"/>
  <c r="I77" i="12"/>
  <c r="K77" i="12"/>
  <c r="J77" i="12"/>
  <c r="I76" i="12"/>
  <c r="I75" i="12"/>
  <c r="J75" i="12"/>
  <c r="K75" i="12"/>
  <c r="I74" i="12"/>
  <c r="J74" i="12"/>
  <c r="I73" i="12"/>
  <c r="I72" i="12"/>
  <c r="K72" i="12"/>
  <c r="J72" i="12"/>
  <c r="G71" i="12"/>
  <c r="D5" i="12"/>
  <c r="F48" i="12"/>
  <c r="G70" i="12"/>
  <c r="K70" i="12"/>
  <c r="J70" i="12"/>
  <c r="I70" i="12"/>
  <c r="G69" i="12"/>
  <c r="D66" i="12"/>
  <c r="H57" i="12"/>
  <c r="H56" i="12"/>
  <c r="K56" i="12"/>
  <c r="H53" i="12"/>
  <c r="F53" i="12"/>
  <c r="G53" i="12"/>
  <c r="K53" i="12"/>
  <c r="J53" i="12"/>
  <c r="H52" i="12"/>
  <c r="H51" i="12"/>
  <c r="F51" i="12"/>
  <c r="G51" i="12"/>
  <c r="H48" i="12"/>
  <c r="H47" i="12"/>
  <c r="K47" i="12"/>
  <c r="J47" i="12"/>
  <c r="F47" i="12"/>
  <c r="H46" i="12"/>
  <c r="H45" i="12"/>
  <c r="K45" i="12"/>
  <c r="F45" i="12"/>
  <c r="H42" i="12"/>
  <c r="H41" i="12"/>
  <c r="H40" i="12"/>
  <c r="H37" i="12"/>
  <c r="H35" i="12"/>
  <c r="H34" i="12"/>
  <c r="K34" i="12"/>
  <c r="J34" i="12"/>
  <c r="H33" i="12"/>
  <c r="H32" i="12"/>
  <c r="K32" i="12"/>
  <c r="H31" i="12"/>
  <c r="H30" i="12"/>
  <c r="K30" i="12"/>
  <c r="H25" i="12"/>
  <c r="H22" i="12"/>
  <c r="H21" i="12"/>
  <c r="H20" i="12"/>
  <c r="K20" i="12"/>
  <c r="H14" i="12"/>
  <c r="F69" i="12"/>
  <c r="K69" i="12"/>
  <c r="F70" i="12"/>
  <c r="K71" i="12"/>
  <c r="J71" i="12"/>
  <c r="I71" i="12"/>
  <c r="K73" i="12"/>
  <c r="K74" i="12"/>
  <c r="K76" i="12"/>
  <c r="I79" i="12"/>
  <c r="I81" i="12"/>
  <c r="J81" i="12"/>
  <c r="K81" i="12"/>
  <c r="I82" i="12"/>
  <c r="J82" i="12"/>
  <c r="K82" i="12"/>
  <c r="I83" i="12"/>
  <c r="J83" i="12"/>
  <c r="K83" i="12"/>
  <c r="K57" i="12"/>
  <c r="L16" i="22"/>
  <c r="K51" i="12"/>
  <c r="G52" i="12"/>
  <c r="K52" i="12"/>
  <c r="J52" i="12"/>
  <c r="G45" i="12"/>
  <c r="G47" i="12"/>
  <c r="G48" i="12"/>
  <c r="K48" i="12"/>
  <c r="G41" i="12"/>
  <c r="K41" i="12"/>
  <c r="J41" i="12"/>
  <c r="G30" i="12"/>
  <c r="G31" i="12"/>
  <c r="K31" i="12"/>
  <c r="J31" i="12"/>
  <c r="G32" i="12"/>
  <c r="G33" i="12"/>
  <c r="K33" i="12"/>
  <c r="J33" i="12"/>
  <c r="G34" i="12"/>
  <c r="G35" i="12"/>
  <c r="K35" i="12"/>
  <c r="J35" i="12"/>
  <c r="G36" i="12"/>
  <c r="G37" i="12"/>
  <c r="K37" i="12"/>
  <c r="J37" i="12"/>
  <c r="H26" i="12"/>
  <c r="K26" i="12"/>
  <c r="G26" i="12"/>
  <c r="H27" i="12"/>
  <c r="K27" i="12"/>
  <c r="J27" i="12"/>
  <c r="G27" i="12"/>
  <c r="K21" i="12"/>
  <c r="K22" i="12"/>
  <c r="J69" i="12"/>
  <c r="J73" i="12"/>
  <c r="J76" i="12"/>
  <c r="J21" i="12"/>
  <c r="J22" i="12"/>
  <c r="J26" i="12"/>
  <c r="J32" i="12"/>
  <c r="J48" i="12"/>
  <c r="J56" i="12"/>
  <c r="J57" i="12"/>
  <c r="D7" i="8"/>
  <c r="D64" i="8"/>
  <c r="J82" i="8"/>
  <c r="K82" i="8"/>
  <c r="I77" i="8"/>
  <c r="I76" i="8"/>
  <c r="K76" i="8"/>
  <c r="J76" i="8"/>
  <c r="I75" i="8"/>
  <c r="I74" i="8"/>
  <c r="I73" i="8"/>
  <c r="K73" i="8"/>
  <c r="J73" i="8"/>
  <c r="I72" i="8"/>
  <c r="K72" i="8"/>
  <c r="J72" i="8"/>
  <c r="G71" i="8"/>
  <c r="D5" i="8"/>
  <c r="G70" i="8"/>
  <c r="G69" i="8"/>
  <c r="H57" i="8"/>
  <c r="H56" i="8"/>
  <c r="H53" i="8"/>
  <c r="K53" i="8"/>
  <c r="F53" i="8"/>
  <c r="H52" i="8"/>
  <c r="H51" i="8"/>
  <c r="F51" i="8"/>
  <c r="H48" i="8"/>
  <c r="F48" i="8"/>
  <c r="H47" i="8"/>
  <c r="F47" i="8"/>
  <c r="H46" i="8"/>
  <c r="F46" i="8"/>
  <c r="G46" i="8"/>
  <c r="K46" i="8"/>
  <c r="H45" i="8"/>
  <c r="F45" i="8"/>
  <c r="G45" i="8"/>
  <c r="H42" i="8"/>
  <c r="H41" i="8"/>
  <c r="H40" i="8"/>
  <c r="H37" i="8"/>
  <c r="H35" i="8"/>
  <c r="H34" i="8"/>
  <c r="H33" i="8"/>
  <c r="H32" i="8"/>
  <c r="H31" i="8"/>
  <c r="H30" i="8"/>
  <c r="H25" i="8"/>
  <c r="H22" i="8"/>
  <c r="H21" i="8"/>
  <c r="K21" i="8"/>
  <c r="H20" i="8"/>
  <c r="D7" i="7"/>
  <c r="D65" i="7"/>
  <c r="D63" i="7"/>
  <c r="D64" i="7"/>
  <c r="I77" i="7"/>
  <c r="I76" i="7"/>
  <c r="I75" i="7"/>
  <c r="J75" i="7"/>
  <c r="I74" i="7"/>
  <c r="J74" i="7"/>
  <c r="K74" i="7"/>
  <c r="I73" i="7"/>
  <c r="I72" i="7"/>
  <c r="G71" i="7"/>
  <c r="D5" i="7"/>
  <c r="G70" i="7"/>
  <c r="G69" i="7"/>
  <c r="D66" i="7"/>
  <c r="H57" i="7"/>
  <c r="H56" i="7"/>
  <c r="H53" i="7"/>
  <c r="F53" i="7"/>
  <c r="H52" i="7"/>
  <c r="H51" i="7"/>
  <c r="H48" i="7"/>
  <c r="H47" i="7"/>
  <c r="H46" i="7"/>
  <c r="H45" i="7"/>
  <c r="H42" i="7"/>
  <c r="H41" i="7"/>
  <c r="H40" i="7"/>
  <c r="H37" i="7"/>
  <c r="H36" i="7"/>
  <c r="H35" i="7"/>
  <c r="H34" i="7"/>
  <c r="H33" i="7"/>
  <c r="H32" i="7"/>
  <c r="H31" i="7"/>
  <c r="H30" i="7"/>
  <c r="H25" i="7"/>
  <c r="H22" i="7"/>
  <c r="K22" i="7"/>
  <c r="H21" i="7"/>
  <c r="H20" i="7"/>
  <c r="K20" i="7"/>
  <c r="K23" i="7"/>
  <c r="D7" i="6"/>
  <c r="D65" i="6"/>
  <c r="F71" i="6"/>
  <c r="D63" i="6"/>
  <c r="D64" i="6"/>
  <c r="I77" i="6"/>
  <c r="I76" i="6"/>
  <c r="I75" i="6"/>
  <c r="J75" i="6"/>
  <c r="I74" i="6"/>
  <c r="J74" i="6"/>
  <c r="I73" i="6"/>
  <c r="I72" i="6"/>
  <c r="G71" i="6"/>
  <c r="D5" i="6"/>
  <c r="G26" i="6"/>
  <c r="G70" i="6"/>
  <c r="G69" i="6"/>
  <c r="K69" i="6"/>
  <c r="D66" i="6"/>
  <c r="H57" i="6"/>
  <c r="H56" i="6"/>
  <c r="H53" i="6"/>
  <c r="K53" i="6"/>
  <c r="J53" i="6"/>
  <c r="F53" i="6"/>
  <c r="H52" i="6"/>
  <c r="H51" i="6"/>
  <c r="F51" i="6"/>
  <c r="H48" i="6"/>
  <c r="F48" i="6"/>
  <c r="H47" i="6"/>
  <c r="F47" i="6"/>
  <c r="H46" i="6"/>
  <c r="F46" i="6"/>
  <c r="H45" i="6"/>
  <c r="F45" i="6"/>
  <c r="G45" i="6"/>
  <c r="H42" i="6"/>
  <c r="H41" i="6"/>
  <c r="H40" i="6"/>
  <c r="H37" i="6"/>
  <c r="K37" i="6"/>
  <c r="J37" i="6"/>
  <c r="H36" i="6"/>
  <c r="H35" i="6"/>
  <c r="H34" i="6"/>
  <c r="H33" i="6"/>
  <c r="H32" i="6"/>
  <c r="H31" i="6"/>
  <c r="H30" i="6"/>
  <c r="H25" i="6"/>
  <c r="H27" i="6"/>
  <c r="H22" i="6"/>
  <c r="H21" i="6"/>
  <c r="K21" i="6"/>
  <c r="H20" i="6"/>
  <c r="H14" i="6"/>
  <c r="K20" i="8"/>
  <c r="J20" i="8"/>
  <c r="J21" i="8"/>
  <c r="K22" i="8"/>
  <c r="J22" i="8"/>
  <c r="G25" i="8"/>
  <c r="K25" i="8"/>
  <c r="G26" i="8"/>
  <c r="H26" i="8"/>
  <c r="K26" i="8"/>
  <c r="J26" i="8"/>
  <c r="G27" i="8"/>
  <c r="H27" i="8"/>
  <c r="K27" i="8"/>
  <c r="J27" i="8"/>
  <c r="G30" i="8"/>
  <c r="K30" i="8"/>
  <c r="J30" i="8"/>
  <c r="G31" i="8"/>
  <c r="K31" i="8"/>
  <c r="J31" i="8"/>
  <c r="G32" i="8"/>
  <c r="K32" i="8"/>
  <c r="J32" i="8"/>
  <c r="G33" i="8"/>
  <c r="K33" i="8"/>
  <c r="J33" i="8"/>
  <c r="G34" i="8"/>
  <c r="K34" i="8"/>
  <c r="J34" i="8"/>
  <c r="G35" i="8"/>
  <c r="K35" i="8"/>
  <c r="J35" i="8"/>
  <c r="G36" i="8"/>
  <c r="G37" i="8"/>
  <c r="K37" i="8"/>
  <c r="J37" i="8"/>
  <c r="G40" i="8"/>
  <c r="K40" i="8"/>
  <c r="G41" i="8"/>
  <c r="G42" i="8"/>
  <c r="K42" i="8"/>
  <c r="J42" i="8"/>
  <c r="K45" i="8"/>
  <c r="J46" i="8"/>
  <c r="G47" i="8"/>
  <c r="K47" i="8"/>
  <c r="J47" i="8"/>
  <c r="G48" i="8"/>
  <c r="K48" i="8"/>
  <c r="J48" i="8"/>
  <c r="G51" i="8"/>
  <c r="K51" i="8"/>
  <c r="G52" i="8"/>
  <c r="K52" i="8"/>
  <c r="J52" i="8"/>
  <c r="G53" i="8"/>
  <c r="J53" i="8"/>
  <c r="K56" i="8"/>
  <c r="K15" i="22"/>
  <c r="K57" i="8"/>
  <c r="K77" i="8"/>
  <c r="J77" i="8"/>
  <c r="I79" i="8"/>
  <c r="I81" i="8"/>
  <c r="I82" i="8"/>
  <c r="I83" i="8"/>
  <c r="J20" i="7"/>
  <c r="K21" i="7"/>
  <c r="H26" i="7"/>
  <c r="H27" i="7"/>
  <c r="G36" i="7"/>
  <c r="K56" i="7"/>
  <c r="J56" i="7"/>
  <c r="K57" i="7"/>
  <c r="I79" i="7"/>
  <c r="J79" i="7"/>
  <c r="K79" i="7"/>
  <c r="I81" i="7"/>
  <c r="J81" i="7"/>
  <c r="K81" i="7"/>
  <c r="I82" i="7"/>
  <c r="J82" i="7"/>
  <c r="K82" i="7"/>
  <c r="I83" i="7"/>
  <c r="J83" i="7"/>
  <c r="K20" i="6"/>
  <c r="J20" i="6"/>
  <c r="J21" i="6"/>
  <c r="K22" i="6"/>
  <c r="J22" i="6"/>
  <c r="G25" i="6"/>
  <c r="K25" i="6"/>
  <c r="G30" i="6"/>
  <c r="K30" i="6"/>
  <c r="G32" i="6"/>
  <c r="G33" i="6"/>
  <c r="K33" i="6"/>
  <c r="J33" i="6"/>
  <c r="G34" i="6"/>
  <c r="K34" i="6"/>
  <c r="J34" i="6"/>
  <c r="G36" i="6"/>
  <c r="G37" i="6"/>
  <c r="G40" i="6"/>
  <c r="K40" i="6"/>
  <c r="G41" i="6"/>
  <c r="K41" i="6"/>
  <c r="J41" i="6"/>
  <c r="K45" i="6"/>
  <c r="G46" i="6"/>
  <c r="G47" i="6"/>
  <c r="K47" i="6"/>
  <c r="J47" i="6"/>
  <c r="G48" i="6"/>
  <c r="K48" i="6"/>
  <c r="J48" i="6"/>
  <c r="G51" i="6"/>
  <c r="K51" i="6"/>
  <c r="G53" i="6"/>
  <c r="K56" i="6"/>
  <c r="J56" i="6"/>
  <c r="K57" i="6"/>
  <c r="J57" i="6"/>
  <c r="F69" i="6"/>
  <c r="F70" i="6"/>
  <c r="K70" i="6"/>
  <c r="J70" i="6"/>
  <c r="I70" i="6"/>
  <c r="K71" i="6"/>
  <c r="J71" i="6"/>
  <c r="I71" i="6"/>
  <c r="K73" i="6"/>
  <c r="J73" i="6"/>
  <c r="K74" i="6"/>
  <c r="K75" i="6"/>
  <c r="K76" i="6"/>
  <c r="J76" i="6"/>
  <c r="K77" i="6"/>
  <c r="J77" i="6"/>
  <c r="I79" i="6"/>
  <c r="J79" i="6"/>
  <c r="K79" i="6"/>
  <c r="I81" i="6"/>
  <c r="J81" i="6"/>
  <c r="K81" i="6"/>
  <c r="I82" i="6"/>
  <c r="J82" i="6"/>
  <c r="K82" i="6"/>
  <c r="I83" i="6"/>
  <c r="J83" i="6"/>
  <c r="K83" i="6"/>
  <c r="G70" i="5"/>
  <c r="G71" i="5"/>
  <c r="G69" i="5"/>
  <c r="D64" i="5"/>
  <c r="D63" i="5"/>
  <c r="D7" i="5"/>
  <c r="D5" i="5"/>
  <c r="K20" i="5"/>
  <c r="J21" i="5"/>
  <c r="K21" i="5"/>
  <c r="K22" i="5"/>
  <c r="K23" i="5"/>
  <c r="G25" i="5"/>
  <c r="K25" i="5"/>
  <c r="G26" i="5"/>
  <c r="K26" i="5"/>
  <c r="J26" i="5"/>
  <c r="F30" i="5"/>
  <c r="G32" i="5"/>
  <c r="K32" i="5"/>
  <c r="J32" i="5"/>
  <c r="G33" i="5"/>
  <c r="K33" i="5"/>
  <c r="J33" i="5"/>
  <c r="G34" i="5"/>
  <c r="K34" i="5"/>
  <c r="J34" i="5"/>
  <c r="G36" i="5"/>
  <c r="K36" i="5"/>
  <c r="J36" i="5"/>
  <c r="H36" i="5"/>
  <c r="G37" i="5"/>
  <c r="K37" i="5"/>
  <c r="J37" i="5"/>
  <c r="G40" i="5"/>
  <c r="K40" i="5"/>
  <c r="J40" i="5"/>
  <c r="G41" i="5"/>
  <c r="K41" i="5"/>
  <c r="J41" i="5"/>
  <c r="G42" i="5"/>
  <c r="K42" i="5"/>
  <c r="J42" i="5"/>
  <c r="F45" i="5"/>
  <c r="G45" i="5"/>
  <c r="K45" i="5"/>
  <c r="J45" i="5"/>
  <c r="F46" i="5"/>
  <c r="G46" i="5"/>
  <c r="K46" i="5"/>
  <c r="J46" i="5"/>
  <c r="F47" i="5"/>
  <c r="G47" i="5"/>
  <c r="K47" i="5"/>
  <c r="J47" i="5"/>
  <c r="F48" i="5"/>
  <c r="G48" i="5"/>
  <c r="K48" i="5"/>
  <c r="J48" i="5"/>
  <c r="F51" i="5"/>
  <c r="G51" i="5"/>
  <c r="K51" i="5"/>
  <c r="J51" i="5"/>
  <c r="G52" i="5"/>
  <c r="K52" i="5"/>
  <c r="J52" i="5"/>
  <c r="F53" i="5"/>
  <c r="G53" i="5"/>
  <c r="K53" i="5"/>
  <c r="J53" i="5"/>
  <c r="J56" i="5"/>
  <c r="K56" i="5"/>
  <c r="K57" i="5"/>
  <c r="K72" i="5"/>
  <c r="J72" i="5"/>
  <c r="K73" i="5"/>
  <c r="J73" i="5"/>
  <c r="J74" i="5"/>
  <c r="K74" i="5"/>
  <c r="K76" i="5"/>
  <c r="J76" i="5"/>
  <c r="I79" i="5"/>
  <c r="I81" i="5"/>
  <c r="J81" i="5"/>
  <c r="K81" i="5"/>
  <c r="I82" i="5"/>
  <c r="J82" i="5"/>
  <c r="K82" i="5"/>
  <c r="I83" i="5"/>
  <c r="C31" i="3"/>
  <c r="D7" i="18"/>
  <c r="C27" i="3"/>
  <c r="D7" i="14"/>
  <c r="C26" i="3"/>
  <c r="D7" i="13"/>
  <c r="C20" i="3"/>
  <c r="E16" i="3"/>
  <c r="C11" i="3"/>
  <c r="D13" i="3"/>
  <c r="C13" i="3"/>
  <c r="C12" i="3"/>
  <c r="D14" i="3"/>
  <c r="B13" i="3"/>
  <c r="D65" i="13"/>
  <c r="J75" i="13"/>
  <c r="K75" i="13"/>
  <c r="H14" i="13"/>
  <c r="K72" i="13"/>
  <c r="J72" i="13"/>
  <c r="D63" i="13"/>
  <c r="D66" i="13"/>
  <c r="K77" i="13"/>
  <c r="J77" i="13"/>
  <c r="D64" i="13"/>
  <c r="D65" i="14"/>
  <c r="D63" i="14"/>
  <c r="D66" i="14"/>
  <c r="H14" i="14"/>
  <c r="K72" i="14"/>
  <c r="J72" i="14"/>
  <c r="K77" i="14"/>
  <c r="J77" i="14"/>
  <c r="D64" i="14"/>
  <c r="K76" i="14"/>
  <c r="J76" i="14"/>
  <c r="J25" i="5"/>
  <c r="K28" i="5"/>
  <c r="J51" i="6"/>
  <c r="J30" i="6"/>
  <c r="J69" i="6"/>
  <c r="J25" i="6"/>
  <c r="J40" i="6"/>
  <c r="K23" i="12"/>
  <c r="E16" i="22"/>
  <c r="J20" i="12"/>
  <c r="J41" i="14"/>
  <c r="K43" i="14"/>
  <c r="H18" i="22"/>
  <c r="K54" i="8"/>
  <c r="J51" i="8"/>
  <c r="J40" i="8"/>
  <c r="K34" i="7"/>
  <c r="J34" i="7"/>
  <c r="F71" i="7"/>
  <c r="K71" i="7"/>
  <c r="J71" i="7"/>
  <c r="I71" i="7"/>
  <c r="F48" i="7"/>
  <c r="G48" i="7"/>
  <c r="F46" i="7"/>
  <c r="G46" i="7"/>
  <c r="K46" i="7"/>
  <c r="J46" i="7"/>
  <c r="G26" i="7"/>
  <c r="G27" i="7"/>
  <c r="G31" i="7"/>
  <c r="K31" i="7"/>
  <c r="J31" i="7"/>
  <c r="G35" i="7"/>
  <c r="K35" i="7"/>
  <c r="J35" i="7"/>
  <c r="G42" i="7"/>
  <c r="K42" i="7"/>
  <c r="J42" i="7"/>
  <c r="G52" i="7"/>
  <c r="K52" i="7"/>
  <c r="J52" i="7"/>
  <c r="J21" i="7"/>
  <c r="G25" i="7"/>
  <c r="K25" i="7"/>
  <c r="G30" i="7"/>
  <c r="G34" i="7"/>
  <c r="G41" i="7"/>
  <c r="F51" i="7"/>
  <c r="G51" i="7"/>
  <c r="F47" i="7"/>
  <c r="G47" i="7"/>
  <c r="K47" i="7"/>
  <c r="J47" i="7"/>
  <c r="F45" i="7"/>
  <c r="G45" i="7"/>
  <c r="K45" i="7"/>
  <c r="G33" i="7"/>
  <c r="K33" i="7"/>
  <c r="J33" i="7"/>
  <c r="G37" i="7"/>
  <c r="K37" i="7"/>
  <c r="J37" i="7"/>
  <c r="G40" i="7"/>
  <c r="K40" i="7"/>
  <c r="J82" i="13"/>
  <c r="K82" i="13"/>
  <c r="L18" i="22"/>
  <c r="C16" i="3"/>
  <c r="K54" i="5"/>
  <c r="K43" i="5"/>
  <c r="C7" i="22"/>
  <c r="G27" i="5"/>
  <c r="K27" i="5"/>
  <c r="J27" i="5"/>
  <c r="G31" i="5"/>
  <c r="K31" i="5"/>
  <c r="J31" i="5"/>
  <c r="G35" i="5"/>
  <c r="K35" i="5"/>
  <c r="J35" i="5"/>
  <c r="H26" i="6"/>
  <c r="K26" i="6"/>
  <c r="J26" i="6"/>
  <c r="K23" i="6"/>
  <c r="E13" i="22"/>
  <c r="K83" i="7"/>
  <c r="K76" i="7"/>
  <c r="J76" i="7"/>
  <c r="L14" i="22"/>
  <c r="J57" i="7"/>
  <c r="K41" i="7"/>
  <c r="J41" i="7"/>
  <c r="K75" i="7"/>
  <c r="K41" i="8"/>
  <c r="J41" i="8"/>
  <c r="I69" i="12"/>
  <c r="K54" i="13"/>
  <c r="J17" i="22"/>
  <c r="J51" i="13"/>
  <c r="K27" i="15"/>
  <c r="J27" i="15"/>
  <c r="K43" i="16"/>
  <c r="H20" i="22"/>
  <c r="J45" i="17"/>
  <c r="K26" i="7"/>
  <c r="J26" i="7"/>
  <c r="K30" i="7"/>
  <c r="K54" i="12"/>
  <c r="J51" i="12"/>
  <c r="K38" i="12"/>
  <c r="G16" i="22"/>
  <c r="J30" i="12"/>
  <c r="J30" i="13"/>
  <c r="J52" i="14"/>
  <c r="L20" i="22"/>
  <c r="C30" i="3"/>
  <c r="L12" i="22"/>
  <c r="J57" i="5"/>
  <c r="K49" i="5"/>
  <c r="I12" i="22"/>
  <c r="G30" i="5"/>
  <c r="K30" i="5"/>
  <c r="J22" i="5"/>
  <c r="J20" i="5"/>
  <c r="D66" i="5"/>
  <c r="F69" i="5"/>
  <c r="K69" i="5"/>
  <c r="H14" i="5"/>
  <c r="K77" i="5"/>
  <c r="J77" i="5"/>
  <c r="D65" i="5"/>
  <c r="L13" i="22"/>
  <c r="L42" i="22"/>
  <c r="L43" i="22"/>
  <c r="K72" i="7"/>
  <c r="J72" i="7"/>
  <c r="F69" i="7"/>
  <c r="K69" i="7"/>
  <c r="G53" i="7"/>
  <c r="K53" i="7"/>
  <c r="J53" i="7"/>
  <c r="K27" i="7"/>
  <c r="J27" i="7"/>
  <c r="J22" i="7"/>
  <c r="L15" i="22"/>
  <c r="J57" i="8"/>
  <c r="J25" i="8"/>
  <c r="J58" i="8"/>
  <c r="K28" i="8"/>
  <c r="F15" i="22"/>
  <c r="K32" i="6"/>
  <c r="J32" i="6"/>
  <c r="K36" i="6"/>
  <c r="J36" i="6"/>
  <c r="K46" i="6"/>
  <c r="J46" i="6"/>
  <c r="K32" i="7"/>
  <c r="J32" i="7"/>
  <c r="K36" i="7"/>
  <c r="J36" i="7"/>
  <c r="K48" i="7"/>
  <c r="J48" i="7"/>
  <c r="J75" i="8"/>
  <c r="K75" i="8"/>
  <c r="D65" i="8"/>
  <c r="F71" i="8"/>
  <c r="K71" i="8"/>
  <c r="J71" i="8"/>
  <c r="I71" i="8"/>
  <c r="H14" i="8"/>
  <c r="D63" i="8"/>
  <c r="D66" i="8"/>
  <c r="J79" i="12"/>
  <c r="K79" i="12"/>
  <c r="J45" i="13"/>
  <c r="K49" i="13"/>
  <c r="K76" i="13"/>
  <c r="J76" i="13"/>
  <c r="K49" i="14"/>
  <c r="I18" i="22"/>
  <c r="J45" i="14"/>
  <c r="J82" i="14"/>
  <c r="K82" i="14"/>
  <c r="K38" i="18"/>
  <c r="G22" i="22"/>
  <c r="K47" i="18"/>
  <c r="J47" i="18"/>
  <c r="F70" i="5"/>
  <c r="K70" i="5"/>
  <c r="J70" i="5"/>
  <c r="I70" i="5"/>
  <c r="K49" i="6"/>
  <c r="I13" i="22"/>
  <c r="J45" i="8"/>
  <c r="K49" i="8"/>
  <c r="K43" i="13"/>
  <c r="H17" i="22"/>
  <c r="J40" i="13"/>
  <c r="L17" i="22"/>
  <c r="J57" i="13"/>
  <c r="D65" i="19"/>
  <c r="J79" i="19"/>
  <c r="K79" i="19"/>
  <c r="D64" i="19"/>
  <c r="D66" i="19"/>
  <c r="D65" i="18"/>
  <c r="D64" i="18"/>
  <c r="J82" i="18"/>
  <c r="K82" i="18"/>
  <c r="D66" i="18"/>
  <c r="D63" i="19"/>
  <c r="D63" i="18"/>
  <c r="H14" i="18"/>
  <c r="K72" i="18"/>
  <c r="J72" i="18"/>
  <c r="K77" i="18"/>
  <c r="J77" i="18"/>
  <c r="J45" i="6"/>
  <c r="K77" i="7"/>
  <c r="J77" i="7"/>
  <c r="F70" i="7"/>
  <c r="G32" i="7"/>
  <c r="J83" i="8"/>
  <c r="K83" i="8"/>
  <c r="J79" i="8"/>
  <c r="K79" i="8"/>
  <c r="B13" i="22"/>
  <c r="K51" i="7"/>
  <c r="K70" i="7"/>
  <c r="J70" i="7"/>
  <c r="I70" i="7"/>
  <c r="K73" i="7"/>
  <c r="J73" i="7"/>
  <c r="H14" i="7"/>
  <c r="J45" i="12"/>
  <c r="K17" i="22"/>
  <c r="J56" i="13"/>
  <c r="K73" i="13"/>
  <c r="J73" i="13"/>
  <c r="J57" i="14"/>
  <c r="K19" i="22"/>
  <c r="J56" i="15"/>
  <c r="J57" i="16"/>
  <c r="K23" i="16"/>
  <c r="E20" i="22"/>
  <c r="J21" i="16"/>
  <c r="K54" i="16"/>
  <c r="H36" i="19"/>
  <c r="K36" i="19"/>
  <c r="J36" i="19"/>
  <c r="H36" i="18"/>
  <c r="K36" i="18"/>
  <c r="J36" i="18"/>
  <c r="H36" i="16"/>
  <c r="K36" i="16"/>
  <c r="J36" i="16"/>
  <c r="H36" i="14"/>
  <c r="K36" i="14"/>
  <c r="J36" i="14"/>
  <c r="K72" i="6"/>
  <c r="J72" i="6"/>
  <c r="G52" i="6"/>
  <c r="K52" i="6"/>
  <c r="J52" i="6"/>
  <c r="G42" i="6"/>
  <c r="K42" i="6"/>
  <c r="J42" i="6"/>
  <c r="G35" i="6"/>
  <c r="K35" i="6"/>
  <c r="J35" i="6"/>
  <c r="G31" i="6"/>
  <c r="K31" i="6"/>
  <c r="J31" i="6"/>
  <c r="G27" i="6"/>
  <c r="K27" i="6"/>
  <c r="J56" i="8"/>
  <c r="K23" i="8"/>
  <c r="H36" i="8"/>
  <c r="K36" i="8"/>
  <c r="J36" i="8"/>
  <c r="G25" i="12"/>
  <c r="K25" i="12"/>
  <c r="G42" i="12"/>
  <c r="K42" i="12"/>
  <c r="J42" i="12"/>
  <c r="G40" i="12"/>
  <c r="K40" i="12"/>
  <c r="F46" i="12"/>
  <c r="G46" i="12"/>
  <c r="K46" i="12"/>
  <c r="J46" i="12"/>
  <c r="H36" i="13"/>
  <c r="K36" i="13"/>
  <c r="J36" i="13"/>
  <c r="J58" i="13"/>
  <c r="K42" i="14"/>
  <c r="J42" i="14"/>
  <c r="K30" i="15"/>
  <c r="K34" i="15"/>
  <c r="J34" i="15"/>
  <c r="F48" i="15"/>
  <c r="G48" i="15"/>
  <c r="K48" i="15"/>
  <c r="J48" i="15"/>
  <c r="F46" i="15"/>
  <c r="G46" i="15"/>
  <c r="K46" i="15"/>
  <c r="J46" i="15"/>
  <c r="G40" i="15"/>
  <c r="K40" i="15"/>
  <c r="G42" i="15"/>
  <c r="K42" i="15"/>
  <c r="J42" i="15"/>
  <c r="G25" i="15"/>
  <c r="K25" i="15"/>
  <c r="F51" i="15"/>
  <c r="G51" i="15"/>
  <c r="K51" i="15"/>
  <c r="F47" i="15"/>
  <c r="G47" i="15"/>
  <c r="F45" i="15"/>
  <c r="G45" i="15"/>
  <c r="K45" i="15"/>
  <c r="G52" i="15"/>
  <c r="K52" i="15"/>
  <c r="J52" i="15"/>
  <c r="G41" i="15"/>
  <c r="K41" i="15"/>
  <c r="J41" i="15"/>
  <c r="G27" i="15"/>
  <c r="J21" i="15"/>
  <c r="J57" i="15"/>
  <c r="J25" i="17"/>
  <c r="H36" i="17"/>
  <c r="K36" i="17"/>
  <c r="J36" i="17"/>
  <c r="K54" i="17"/>
  <c r="J21" i="22"/>
  <c r="J51" i="17"/>
  <c r="K21" i="22"/>
  <c r="H36" i="12"/>
  <c r="K36" i="12"/>
  <c r="J36" i="12"/>
  <c r="K53" i="14"/>
  <c r="J53" i="14"/>
  <c r="K23" i="15"/>
  <c r="K47" i="15"/>
  <c r="J47" i="15"/>
  <c r="K38" i="16"/>
  <c r="J30" i="16"/>
  <c r="J21" i="18"/>
  <c r="K23" i="18"/>
  <c r="E22" i="22"/>
  <c r="J79" i="18"/>
  <c r="K79" i="18"/>
  <c r="J82" i="19"/>
  <c r="K82" i="19"/>
  <c r="K25" i="14"/>
  <c r="H27" i="14"/>
  <c r="K27" i="14"/>
  <c r="J27" i="14"/>
  <c r="K73" i="14"/>
  <c r="J73" i="14"/>
  <c r="K32" i="15"/>
  <c r="J32" i="15"/>
  <c r="H36" i="15"/>
  <c r="K36" i="15"/>
  <c r="J36" i="15"/>
  <c r="K49" i="16"/>
  <c r="I20" i="22"/>
  <c r="K25" i="16"/>
  <c r="H27" i="16"/>
  <c r="K27" i="16"/>
  <c r="J27" i="16"/>
  <c r="J40" i="17"/>
  <c r="K54" i="19"/>
  <c r="J81" i="19"/>
  <c r="K81" i="19"/>
  <c r="K33" i="19"/>
  <c r="J33" i="19"/>
  <c r="K23" i="22"/>
  <c r="K24" i="22"/>
  <c r="K25" i="22"/>
  <c r="K26" i="22"/>
  <c r="K27" i="22"/>
  <c r="K28" i="22"/>
  <c r="K29" i="22"/>
  <c r="K30" i="22"/>
  <c r="K31" i="22"/>
  <c r="K32" i="22"/>
  <c r="K33" i="22"/>
  <c r="K34" i="22"/>
  <c r="K35" i="22"/>
  <c r="K36" i="22"/>
  <c r="K37" i="22"/>
  <c r="K38" i="22"/>
  <c r="K39" i="22"/>
  <c r="K40" i="22"/>
  <c r="K41" i="22"/>
  <c r="J56" i="19"/>
  <c r="N42" i="22"/>
  <c r="N43" i="22"/>
  <c r="N22" i="22"/>
  <c r="N23" i="22"/>
  <c r="N24" i="22"/>
  <c r="N25" i="22"/>
  <c r="N26" i="22"/>
  <c r="N27" i="22"/>
  <c r="N28" i="22"/>
  <c r="N29" i="22"/>
  <c r="N30" i="22"/>
  <c r="N31" i="22"/>
  <c r="N32" i="22"/>
  <c r="N33" i="22"/>
  <c r="N34" i="22"/>
  <c r="N35" i="22"/>
  <c r="N36" i="22"/>
  <c r="N37" i="22"/>
  <c r="N38" i="22"/>
  <c r="N39" i="22"/>
  <c r="N40" i="22"/>
  <c r="N41" i="22"/>
  <c r="K33" i="17"/>
  <c r="J33" i="17"/>
  <c r="K37" i="17"/>
  <c r="J37" i="17"/>
  <c r="F48" i="17"/>
  <c r="G48" i="17"/>
  <c r="K48" i="17"/>
  <c r="J48" i="17"/>
  <c r="F46" i="17"/>
  <c r="G46" i="17"/>
  <c r="G52" i="17"/>
  <c r="K52" i="17"/>
  <c r="J52" i="17"/>
  <c r="G41" i="17"/>
  <c r="K41" i="17"/>
  <c r="J41" i="17"/>
  <c r="G27" i="17"/>
  <c r="K27" i="17"/>
  <c r="J21" i="17"/>
  <c r="K49" i="18"/>
  <c r="I22" i="22"/>
  <c r="K53" i="18"/>
  <c r="J53" i="18"/>
  <c r="J57" i="19"/>
  <c r="J40" i="19"/>
  <c r="H26" i="19"/>
  <c r="K26" i="19"/>
  <c r="J26" i="19"/>
  <c r="K72" i="19"/>
  <c r="J72" i="19"/>
  <c r="BM67" i="21"/>
  <c r="S38" i="22"/>
  <c r="BI67" i="21"/>
  <c r="S34" i="22"/>
  <c r="BE67" i="21"/>
  <c r="S30" i="22"/>
  <c r="BA67" i="21"/>
  <c r="S26" i="22"/>
  <c r="AW67" i="21"/>
  <c r="S22" i="22"/>
  <c r="AS67" i="21"/>
  <c r="S18" i="22"/>
  <c r="AO67" i="21"/>
  <c r="S14" i="22"/>
  <c r="D11" i="21"/>
  <c r="O23" i="22"/>
  <c r="O24" i="22"/>
  <c r="O25" i="22"/>
  <c r="O26" i="22"/>
  <c r="O27" i="22"/>
  <c r="O28" i="22"/>
  <c r="O29" i="22"/>
  <c r="O30" i="22"/>
  <c r="O31" i="22"/>
  <c r="O32" i="22"/>
  <c r="O33" i="22"/>
  <c r="O34" i="22"/>
  <c r="O35" i="22"/>
  <c r="O36" i="22"/>
  <c r="O37" i="22"/>
  <c r="O38" i="22"/>
  <c r="O39" i="22"/>
  <c r="O40" i="22"/>
  <c r="O41" i="22"/>
  <c r="L22" i="22"/>
  <c r="K25" i="18"/>
  <c r="H27" i="18"/>
  <c r="K27" i="18"/>
  <c r="J27" i="18"/>
  <c r="K40" i="18"/>
  <c r="K51" i="18"/>
  <c r="K73" i="18"/>
  <c r="J73" i="18"/>
  <c r="K76" i="18"/>
  <c r="J76" i="18"/>
  <c r="K28" i="19"/>
  <c r="F23" i="22"/>
  <c r="F24" i="22"/>
  <c r="F25" i="22"/>
  <c r="F26" i="22"/>
  <c r="F27" i="22"/>
  <c r="F28" i="22"/>
  <c r="F29" i="22"/>
  <c r="F30" i="22"/>
  <c r="F31" i="22"/>
  <c r="F32" i="22"/>
  <c r="F33" i="22"/>
  <c r="F34" i="22"/>
  <c r="F35" i="22"/>
  <c r="F36" i="22"/>
  <c r="F37" i="22"/>
  <c r="F38" i="22"/>
  <c r="F39" i="22"/>
  <c r="F40" i="22"/>
  <c r="F41" i="22"/>
  <c r="J25" i="19"/>
  <c r="C3" i="22"/>
  <c r="B23" i="22"/>
  <c r="K45" i="19"/>
  <c r="D26" i="21"/>
  <c r="BP67" i="21"/>
  <c r="AN67" i="21"/>
  <c r="S13" i="22"/>
  <c r="BL67" i="21"/>
  <c r="S37" i="22"/>
  <c r="BH67" i="21"/>
  <c r="S33" i="22"/>
  <c r="BD67" i="21"/>
  <c r="S29" i="22"/>
  <c r="AZ67" i="21"/>
  <c r="S25" i="22"/>
  <c r="AR67" i="21"/>
  <c r="S17" i="22"/>
  <c r="G35" i="14"/>
  <c r="K35" i="14"/>
  <c r="J35" i="14"/>
  <c r="G33" i="14"/>
  <c r="K33" i="14"/>
  <c r="K46" i="17"/>
  <c r="J46" i="17"/>
  <c r="J30" i="18"/>
  <c r="K77" i="19"/>
  <c r="J77" i="19"/>
  <c r="K30" i="19"/>
  <c r="K34" i="19"/>
  <c r="J34" i="19"/>
  <c r="BF18" i="21"/>
  <c r="AV18" i="21"/>
  <c r="BF10" i="21"/>
  <c r="AV10" i="21"/>
  <c r="AV67" i="21"/>
  <c r="S21" i="22"/>
  <c r="Q42" i="22"/>
  <c r="Q43" i="22"/>
  <c r="D36" i="21"/>
  <c r="P42" i="22"/>
  <c r="P43" i="22"/>
  <c r="BO67" i="21"/>
  <c r="S40" i="22"/>
  <c r="BK67" i="21"/>
  <c r="S36" i="22"/>
  <c r="BG67" i="21"/>
  <c r="S32" i="22"/>
  <c r="BC67" i="21"/>
  <c r="S28" i="22"/>
  <c r="AY67" i="21"/>
  <c r="S24" i="22"/>
  <c r="AU67" i="21"/>
  <c r="S20" i="22"/>
  <c r="AQ67" i="21"/>
  <c r="S16" i="22"/>
  <c r="AM67" i="21"/>
  <c r="S12" i="22"/>
  <c r="A6" i="23"/>
  <c r="A15" i="22"/>
  <c r="R13" i="22"/>
  <c r="R14" i="22"/>
  <c r="R15" i="22"/>
  <c r="R16" i="22"/>
  <c r="R17" i="22"/>
  <c r="R18" i="22"/>
  <c r="R19" i="22"/>
  <c r="R20" i="22"/>
  <c r="R21" i="22"/>
  <c r="R22" i="22"/>
  <c r="R23" i="22"/>
  <c r="R24" i="22"/>
  <c r="R25" i="22"/>
  <c r="R26" i="22"/>
  <c r="R27" i="22"/>
  <c r="R28" i="22"/>
  <c r="R29" i="22"/>
  <c r="R30" i="22"/>
  <c r="R31" i="22"/>
  <c r="R32" i="22"/>
  <c r="R33" i="22"/>
  <c r="R34" i="22"/>
  <c r="R35" i="22"/>
  <c r="R36" i="22"/>
  <c r="R37" i="22"/>
  <c r="R38" i="22"/>
  <c r="R39" i="22"/>
  <c r="R40" i="22"/>
  <c r="R41" i="22"/>
  <c r="R11" i="22"/>
  <c r="AL67" i="21"/>
  <c r="S11" i="22"/>
  <c r="K13" i="22"/>
  <c r="F17" i="22"/>
  <c r="J15" i="22"/>
  <c r="H12" i="22"/>
  <c r="E14" i="22"/>
  <c r="E12" i="22"/>
  <c r="E42" i="22"/>
  <c r="E43" i="22"/>
  <c r="F12" i="22"/>
  <c r="J12" i="22"/>
  <c r="J16" i="22"/>
  <c r="J20" i="22"/>
  <c r="H23" i="22"/>
  <c r="H24" i="22"/>
  <c r="H25" i="22"/>
  <c r="H26" i="22"/>
  <c r="H27" i="22"/>
  <c r="H28" i="22"/>
  <c r="H29" i="22"/>
  <c r="H30" i="22"/>
  <c r="H31" i="22"/>
  <c r="H32" i="22"/>
  <c r="H33" i="22"/>
  <c r="H34" i="22"/>
  <c r="H35" i="22"/>
  <c r="H36" i="22"/>
  <c r="H37" i="22"/>
  <c r="H38" i="22"/>
  <c r="H39" i="22"/>
  <c r="H40" i="22"/>
  <c r="H41" i="22"/>
  <c r="K12" i="22"/>
  <c r="K42" i="22"/>
  <c r="K43" i="22"/>
  <c r="B14" i="22"/>
  <c r="K14" i="22"/>
  <c r="E15" i="22"/>
  <c r="I15" i="22"/>
  <c r="B16" i="22"/>
  <c r="K16" i="22"/>
  <c r="E17" i="22"/>
  <c r="I17" i="22"/>
  <c r="B18" i="22"/>
  <c r="K18" i="22"/>
  <c r="E19" i="22"/>
  <c r="G20" i="22"/>
  <c r="K20" i="22"/>
  <c r="E21" i="22"/>
  <c r="B22" i="22"/>
  <c r="K22" i="22"/>
  <c r="E23" i="22"/>
  <c r="E24" i="22"/>
  <c r="E25" i="22"/>
  <c r="E26" i="22"/>
  <c r="E27" i="22"/>
  <c r="E28" i="22"/>
  <c r="E29" i="22"/>
  <c r="E30" i="22"/>
  <c r="E31" i="22"/>
  <c r="E32" i="22"/>
  <c r="E33" i="22"/>
  <c r="E34" i="22"/>
  <c r="E35" i="22"/>
  <c r="E36" i="22"/>
  <c r="E37" i="22"/>
  <c r="E38" i="22"/>
  <c r="E39" i="22"/>
  <c r="E40" i="22"/>
  <c r="E41" i="22"/>
  <c r="D13" i="24"/>
  <c r="K54" i="15"/>
  <c r="J51" i="15"/>
  <c r="J58" i="16"/>
  <c r="J27" i="6"/>
  <c r="J58" i="6"/>
  <c r="K28" i="6"/>
  <c r="F13" i="22"/>
  <c r="D14" i="24"/>
  <c r="J69" i="5"/>
  <c r="D7" i="24"/>
  <c r="J45" i="15"/>
  <c r="K49" i="15"/>
  <c r="I19" i="22"/>
  <c r="J27" i="17"/>
  <c r="J58" i="17"/>
  <c r="K28" i="17"/>
  <c r="F21" i="22"/>
  <c r="K43" i="12"/>
  <c r="H16" i="22"/>
  <c r="J40" i="12"/>
  <c r="K54" i="14"/>
  <c r="K28" i="7"/>
  <c r="F14" i="22"/>
  <c r="F42" i="22"/>
  <c r="F43" i="22"/>
  <c r="J25" i="7"/>
  <c r="J58" i="7"/>
  <c r="F71" i="14"/>
  <c r="K71" i="14"/>
  <c r="J71" i="14"/>
  <c r="I71" i="14"/>
  <c r="J75" i="14"/>
  <c r="K75" i="14"/>
  <c r="J79" i="13"/>
  <c r="K79" i="13"/>
  <c r="F69" i="13"/>
  <c r="K69" i="13"/>
  <c r="J81" i="13"/>
  <c r="K81" i="13"/>
  <c r="F70" i="13"/>
  <c r="K70" i="13"/>
  <c r="J70" i="13"/>
  <c r="I70" i="13"/>
  <c r="J74" i="13"/>
  <c r="K74" i="13"/>
  <c r="R42" i="22"/>
  <c r="R43" i="22"/>
  <c r="U11" i="22"/>
  <c r="J45" i="19"/>
  <c r="K49" i="19"/>
  <c r="I23" i="22"/>
  <c r="I24" i="22"/>
  <c r="I25" i="22"/>
  <c r="I26" i="22"/>
  <c r="I27" i="22"/>
  <c r="I28" i="22"/>
  <c r="I29" i="22"/>
  <c r="I30" i="22"/>
  <c r="I31" i="22"/>
  <c r="I32" i="22"/>
  <c r="I33" i="22"/>
  <c r="I34" i="22"/>
  <c r="I35" i="22"/>
  <c r="I36" i="22"/>
  <c r="I37" i="22"/>
  <c r="I38" i="22"/>
  <c r="I39" i="22"/>
  <c r="I40" i="22"/>
  <c r="I41" i="22"/>
  <c r="J40" i="18"/>
  <c r="K43" i="18"/>
  <c r="H22" i="22"/>
  <c r="D67" i="21"/>
  <c r="S41" i="22"/>
  <c r="K58" i="17"/>
  <c r="F69" i="19"/>
  <c r="K69" i="19"/>
  <c r="F70" i="19"/>
  <c r="K70" i="19"/>
  <c r="J70" i="19"/>
  <c r="I70" i="19"/>
  <c r="J74" i="19"/>
  <c r="K74" i="19"/>
  <c r="J74" i="8"/>
  <c r="K74" i="8"/>
  <c r="F70" i="8"/>
  <c r="K70" i="8"/>
  <c r="J70" i="8"/>
  <c r="I70" i="8"/>
  <c r="F69" i="8"/>
  <c r="K69" i="8"/>
  <c r="J81" i="8"/>
  <c r="K81" i="8"/>
  <c r="J69" i="7"/>
  <c r="J75" i="5"/>
  <c r="K75" i="5"/>
  <c r="K84" i="5"/>
  <c r="F71" i="5"/>
  <c r="K71" i="5"/>
  <c r="J71" i="5"/>
  <c r="I71" i="5"/>
  <c r="J83" i="5"/>
  <c r="K83" i="5"/>
  <c r="J58" i="5"/>
  <c r="J83" i="14"/>
  <c r="K83" i="14"/>
  <c r="J79" i="5"/>
  <c r="K79" i="5"/>
  <c r="K43" i="8"/>
  <c r="H15" i="22"/>
  <c r="K43" i="6"/>
  <c r="H13" i="22"/>
  <c r="S42" i="22"/>
  <c r="S43" i="22"/>
  <c r="J51" i="18"/>
  <c r="K54" i="18"/>
  <c r="K38" i="17"/>
  <c r="G21" i="22"/>
  <c r="K54" i="7"/>
  <c r="J51" i="7"/>
  <c r="F71" i="18"/>
  <c r="K71" i="18"/>
  <c r="J71" i="18"/>
  <c r="I71" i="18"/>
  <c r="J83" i="18"/>
  <c r="K83" i="18"/>
  <c r="J75" i="18"/>
  <c r="K75" i="18"/>
  <c r="I69" i="6"/>
  <c r="I84" i="6"/>
  <c r="J23" i="22"/>
  <c r="J24" i="22"/>
  <c r="J25" i="22"/>
  <c r="J26" i="22"/>
  <c r="J27" i="22"/>
  <c r="J28" i="22"/>
  <c r="J29" i="22"/>
  <c r="J30" i="22"/>
  <c r="J31" i="22"/>
  <c r="J32" i="22"/>
  <c r="J33" i="22"/>
  <c r="J34" i="22"/>
  <c r="J35" i="22"/>
  <c r="J36" i="22"/>
  <c r="J37" i="22"/>
  <c r="J38" i="22"/>
  <c r="J39" i="22"/>
  <c r="J40" i="22"/>
  <c r="J41" i="22"/>
  <c r="D21" i="24"/>
  <c r="BF67" i="21"/>
  <c r="S31" i="22"/>
  <c r="J30" i="19"/>
  <c r="J58" i="19"/>
  <c r="K38" i="19"/>
  <c r="G23" i="22"/>
  <c r="G24" i="22"/>
  <c r="G25" i="22"/>
  <c r="G26" i="22"/>
  <c r="G27" i="22"/>
  <c r="G28" i="22"/>
  <c r="G29" i="22"/>
  <c r="G30" i="22"/>
  <c r="G31" i="22"/>
  <c r="G32" i="22"/>
  <c r="G33" i="22"/>
  <c r="G34" i="22"/>
  <c r="G35" i="22"/>
  <c r="G36" i="22"/>
  <c r="G37" i="22"/>
  <c r="G38" i="22"/>
  <c r="G39" i="22"/>
  <c r="G40" i="22"/>
  <c r="G41" i="22"/>
  <c r="K38" i="14"/>
  <c r="G18" i="22"/>
  <c r="J33" i="14"/>
  <c r="B24" i="22"/>
  <c r="K43" i="17"/>
  <c r="H21" i="22"/>
  <c r="K28" i="14"/>
  <c r="F18" i="22"/>
  <c r="J25" i="14"/>
  <c r="J58" i="14"/>
  <c r="K43" i="15"/>
  <c r="H19" i="22"/>
  <c r="J40" i="15"/>
  <c r="J79" i="14"/>
  <c r="K79" i="14"/>
  <c r="K49" i="12"/>
  <c r="I16" i="22"/>
  <c r="B15" i="22"/>
  <c r="K38" i="13"/>
  <c r="G17" i="22"/>
  <c r="K49" i="17"/>
  <c r="I21" i="22"/>
  <c r="D9" i="18"/>
  <c r="K14" i="18"/>
  <c r="I78" i="17"/>
  <c r="I78" i="16"/>
  <c r="D9" i="19"/>
  <c r="K14" i="19"/>
  <c r="D9" i="16"/>
  <c r="I78" i="15"/>
  <c r="D9" i="14"/>
  <c r="K14" i="14"/>
  <c r="I78" i="12"/>
  <c r="J78" i="12"/>
  <c r="D9" i="6"/>
  <c r="K14" i="6"/>
  <c r="D9" i="17"/>
  <c r="I78" i="13"/>
  <c r="J78" i="13"/>
  <c r="K78" i="13"/>
  <c r="D9" i="12"/>
  <c r="K14" i="12"/>
  <c r="I78" i="8"/>
  <c r="J78" i="8"/>
  <c r="K78" i="8"/>
  <c r="I78" i="18"/>
  <c r="J78" i="18"/>
  <c r="K78" i="18"/>
  <c r="I78" i="14"/>
  <c r="J78" i="14"/>
  <c r="K78" i="14"/>
  <c r="D9" i="13"/>
  <c r="D9" i="8"/>
  <c r="K14" i="8"/>
  <c r="I78" i="7"/>
  <c r="J78" i="7"/>
  <c r="K78" i="7"/>
  <c r="K84" i="7"/>
  <c r="D9" i="15"/>
  <c r="D9" i="7"/>
  <c r="K14" i="7"/>
  <c r="I78" i="5"/>
  <c r="J78" i="5"/>
  <c r="K78" i="5"/>
  <c r="D9" i="5"/>
  <c r="K14" i="5"/>
  <c r="I78" i="6"/>
  <c r="J78" i="6"/>
  <c r="K78" i="6"/>
  <c r="K84" i="6"/>
  <c r="I78" i="19"/>
  <c r="J78" i="19"/>
  <c r="K78" i="19"/>
  <c r="D16" i="3"/>
  <c r="C4" i="22"/>
  <c r="K49" i="7"/>
  <c r="I14" i="22"/>
  <c r="I42" i="22"/>
  <c r="I43" i="22"/>
  <c r="J45" i="7"/>
  <c r="K54" i="6"/>
  <c r="B17" i="22"/>
  <c r="K14" i="13"/>
  <c r="C14" i="22"/>
  <c r="D22" i="24"/>
  <c r="K28" i="15"/>
  <c r="F19" i="22"/>
  <c r="J25" i="15"/>
  <c r="F70" i="18"/>
  <c r="K70" i="18"/>
  <c r="J70" i="18"/>
  <c r="I70" i="18"/>
  <c r="J74" i="18"/>
  <c r="K74" i="18"/>
  <c r="F69" i="18"/>
  <c r="K69" i="18"/>
  <c r="J81" i="18"/>
  <c r="K81" i="18"/>
  <c r="A7" i="23"/>
  <c r="A16" i="22"/>
  <c r="J25" i="18"/>
  <c r="K28" i="18"/>
  <c r="F22" i="22"/>
  <c r="O42" i="22"/>
  <c r="O43" i="22"/>
  <c r="D19" i="24"/>
  <c r="K28" i="16"/>
  <c r="F20" i="22"/>
  <c r="J25" i="16"/>
  <c r="J58" i="18"/>
  <c r="J30" i="15"/>
  <c r="K38" i="15"/>
  <c r="G19" i="22"/>
  <c r="K28" i="12"/>
  <c r="F16" i="22"/>
  <c r="J25" i="12"/>
  <c r="J58" i="12"/>
  <c r="F71" i="19"/>
  <c r="K71" i="19"/>
  <c r="J71" i="19"/>
  <c r="I71" i="19"/>
  <c r="J83" i="19"/>
  <c r="K83" i="19"/>
  <c r="J75" i="19"/>
  <c r="K75" i="19"/>
  <c r="B12" i="22"/>
  <c r="J30" i="5"/>
  <c r="K38" i="5"/>
  <c r="G12" i="22"/>
  <c r="G42" i="22"/>
  <c r="G43" i="22"/>
  <c r="D7" i="17"/>
  <c r="C29" i="3"/>
  <c r="K38" i="7"/>
  <c r="G14" i="22"/>
  <c r="J30" i="7"/>
  <c r="K38" i="8"/>
  <c r="G15" i="22"/>
  <c r="J40" i="7"/>
  <c r="K43" i="7"/>
  <c r="H14" i="22"/>
  <c r="K38" i="6"/>
  <c r="G13" i="22"/>
  <c r="F69" i="14"/>
  <c r="K69" i="14"/>
  <c r="F70" i="14"/>
  <c r="K70" i="14"/>
  <c r="J70" i="14"/>
  <c r="I70" i="14"/>
  <c r="J74" i="14"/>
  <c r="K74" i="14"/>
  <c r="J81" i="14"/>
  <c r="K81" i="14"/>
  <c r="J83" i="13"/>
  <c r="K83" i="13"/>
  <c r="F71" i="13"/>
  <c r="K71" i="13"/>
  <c r="J71" i="13"/>
  <c r="I71" i="13"/>
  <c r="J14" i="18"/>
  <c r="M12" i="22"/>
  <c r="K86" i="5"/>
  <c r="K87" i="5"/>
  <c r="J14" i="7"/>
  <c r="D8" i="24"/>
  <c r="M13" i="22"/>
  <c r="J14" i="14"/>
  <c r="D11" i="24"/>
  <c r="J14" i="5"/>
  <c r="M14" i="22"/>
  <c r="J14" i="8"/>
  <c r="J14" i="6"/>
  <c r="K58" i="7"/>
  <c r="K86" i="7"/>
  <c r="K87" i="7"/>
  <c r="J14" i="22"/>
  <c r="U14" i="22"/>
  <c r="V14" i="22"/>
  <c r="K58" i="8"/>
  <c r="D20" i="24"/>
  <c r="D25" i="24"/>
  <c r="C22" i="22"/>
  <c r="J14" i="12"/>
  <c r="K78" i="12"/>
  <c r="K84" i="12"/>
  <c r="J84" i="12"/>
  <c r="J86" i="12"/>
  <c r="J14" i="19"/>
  <c r="I84" i="12"/>
  <c r="C18" i="22"/>
  <c r="K84" i="19"/>
  <c r="J69" i="19"/>
  <c r="V11" i="22"/>
  <c r="W11" i="22"/>
  <c r="K58" i="5"/>
  <c r="D9" i="24"/>
  <c r="K84" i="18"/>
  <c r="J69" i="18"/>
  <c r="J13" i="22"/>
  <c r="K58" i="6"/>
  <c r="K86" i="6"/>
  <c r="K87" i="6"/>
  <c r="C23" i="22"/>
  <c r="D24" i="24"/>
  <c r="J84" i="7"/>
  <c r="J86" i="7"/>
  <c r="I69" i="7"/>
  <c r="I84" i="7"/>
  <c r="D7" i="16"/>
  <c r="C28" i="3"/>
  <c r="D7" i="15"/>
  <c r="C16" i="22"/>
  <c r="J14" i="13"/>
  <c r="C15" i="22"/>
  <c r="J84" i="6"/>
  <c r="J86" i="6"/>
  <c r="K58" i="18"/>
  <c r="J22" i="22"/>
  <c r="K58" i="13"/>
  <c r="D23" i="24"/>
  <c r="J18" i="22"/>
  <c r="K58" i="14"/>
  <c r="J84" i="5"/>
  <c r="J86" i="5"/>
  <c r="I69" i="5"/>
  <c r="I84" i="5"/>
  <c r="K58" i="15"/>
  <c r="J19" i="22"/>
  <c r="A17" i="22"/>
  <c r="A8" i="23"/>
  <c r="K84" i="14"/>
  <c r="J69" i="14"/>
  <c r="K72" i="17"/>
  <c r="J72" i="17"/>
  <c r="K76" i="17"/>
  <c r="J76" i="17"/>
  <c r="D63" i="17"/>
  <c r="D66" i="17"/>
  <c r="K73" i="17"/>
  <c r="J73" i="17"/>
  <c r="D65" i="17"/>
  <c r="D64" i="17"/>
  <c r="J82" i="17"/>
  <c r="K82" i="17"/>
  <c r="H14" i="17"/>
  <c r="K77" i="17"/>
  <c r="J77" i="17"/>
  <c r="C12" i="22"/>
  <c r="J58" i="15"/>
  <c r="C17" i="22"/>
  <c r="K58" i="12"/>
  <c r="C13" i="22"/>
  <c r="B25" i="22"/>
  <c r="C24" i="22"/>
  <c r="H42" i="22"/>
  <c r="H43" i="22"/>
  <c r="J69" i="8"/>
  <c r="K84" i="8"/>
  <c r="K84" i="13"/>
  <c r="J69" i="13"/>
  <c r="K58" i="16"/>
  <c r="K58" i="19"/>
  <c r="M15" i="22"/>
  <c r="K86" i="8"/>
  <c r="K87" i="8"/>
  <c r="J42" i="22"/>
  <c r="J43" i="22"/>
  <c r="J87" i="14"/>
  <c r="I14" i="14"/>
  <c r="I69" i="8"/>
  <c r="I84" i="8"/>
  <c r="J84" i="8"/>
  <c r="J86" i="8"/>
  <c r="J87" i="8"/>
  <c r="U13" i="22"/>
  <c r="V13" i="22"/>
  <c r="I14" i="13"/>
  <c r="D63" i="16"/>
  <c r="D65" i="16"/>
  <c r="D64" i="16"/>
  <c r="J82" i="16"/>
  <c r="K82" i="16"/>
  <c r="D66" i="16"/>
  <c r="H14" i="16"/>
  <c r="K72" i="16"/>
  <c r="J72" i="16"/>
  <c r="K77" i="16"/>
  <c r="J77" i="16"/>
  <c r="K76" i="16"/>
  <c r="J76" i="16"/>
  <c r="K73" i="16"/>
  <c r="J73" i="16"/>
  <c r="I69" i="18"/>
  <c r="I84" i="18"/>
  <c r="J84" i="18"/>
  <c r="J86" i="18"/>
  <c r="M23" i="22"/>
  <c r="M24" i="22"/>
  <c r="M25" i="22"/>
  <c r="M26" i="22"/>
  <c r="M27" i="22"/>
  <c r="M28" i="22"/>
  <c r="M29" i="22"/>
  <c r="M30" i="22"/>
  <c r="M31" i="22"/>
  <c r="M32" i="22"/>
  <c r="M33" i="22"/>
  <c r="M34" i="22"/>
  <c r="M35" i="22"/>
  <c r="M36" i="22"/>
  <c r="M37" i="22"/>
  <c r="M38" i="22"/>
  <c r="M39" i="22"/>
  <c r="M40" i="22"/>
  <c r="M41" i="22"/>
  <c r="K86" i="19"/>
  <c r="K87" i="19"/>
  <c r="I14" i="19"/>
  <c r="J87" i="6"/>
  <c r="I14" i="6"/>
  <c r="I14" i="8"/>
  <c r="D10" i="24"/>
  <c r="B21" i="22"/>
  <c r="C21" i="22"/>
  <c r="K14" i="17"/>
  <c r="I69" i="14"/>
  <c r="I84" i="14"/>
  <c r="J84" i="14"/>
  <c r="J86" i="14"/>
  <c r="A9" i="23"/>
  <c r="A18" i="22"/>
  <c r="M22" i="22"/>
  <c r="K86" i="18"/>
  <c r="K87" i="18"/>
  <c r="B3" i="23"/>
  <c r="U18" i="22"/>
  <c r="U22" i="22"/>
  <c r="J87" i="18"/>
  <c r="I14" i="18"/>
  <c r="C25" i="22"/>
  <c r="U25" i="22"/>
  <c r="B26" i="22"/>
  <c r="U12" i="22"/>
  <c r="F71" i="17"/>
  <c r="K71" i="17"/>
  <c r="J71" i="17"/>
  <c r="I71" i="17"/>
  <c r="J83" i="17"/>
  <c r="K83" i="17"/>
  <c r="J75" i="17"/>
  <c r="K75" i="17"/>
  <c r="D64" i="15"/>
  <c r="J82" i="15"/>
  <c r="K82" i="15"/>
  <c r="H14" i="15"/>
  <c r="D65" i="15"/>
  <c r="D63" i="15"/>
  <c r="D66" i="15"/>
  <c r="K76" i="15"/>
  <c r="J76" i="15"/>
  <c r="K73" i="15"/>
  <c r="J73" i="15"/>
  <c r="K72" i="15"/>
  <c r="J72" i="15"/>
  <c r="K77" i="15"/>
  <c r="J77" i="15"/>
  <c r="J84" i="19"/>
  <c r="J86" i="19"/>
  <c r="J87" i="19"/>
  <c r="I69" i="19"/>
  <c r="I84" i="19"/>
  <c r="I14" i="12"/>
  <c r="J87" i="12"/>
  <c r="I14" i="5"/>
  <c r="J87" i="5"/>
  <c r="I69" i="13"/>
  <c r="I84" i="13"/>
  <c r="J84" i="13"/>
  <c r="J86" i="13"/>
  <c r="J87" i="13"/>
  <c r="M17" i="22"/>
  <c r="U17" i="22"/>
  <c r="V17" i="22"/>
  <c r="K86" i="13"/>
  <c r="K87" i="13"/>
  <c r="J78" i="17"/>
  <c r="K78" i="17"/>
  <c r="J79" i="17"/>
  <c r="K79" i="17"/>
  <c r="F69" i="17"/>
  <c r="K69" i="17"/>
  <c r="J81" i="17"/>
  <c r="K81" i="17"/>
  <c r="F70" i="17"/>
  <c r="K70" i="17"/>
  <c r="J70" i="17"/>
  <c r="I70" i="17"/>
  <c r="J74" i="17"/>
  <c r="K74" i="17"/>
  <c r="M18" i="22"/>
  <c r="K86" i="14"/>
  <c r="K87" i="14"/>
  <c r="U15" i="22"/>
  <c r="V15" i="22"/>
  <c r="U16" i="22"/>
  <c r="V16" i="22"/>
  <c r="M16" i="22"/>
  <c r="K86" i="12"/>
  <c r="K87" i="12"/>
  <c r="I14" i="7"/>
  <c r="J87" i="7"/>
  <c r="A10" i="23"/>
  <c r="A19" i="22"/>
  <c r="V18" i="22"/>
  <c r="J14" i="17"/>
  <c r="D12" i="24"/>
  <c r="U24" i="22"/>
  <c r="F69" i="15"/>
  <c r="K69" i="15"/>
  <c r="F70" i="15"/>
  <c r="K70" i="15"/>
  <c r="J70" i="15"/>
  <c r="I70" i="15"/>
  <c r="J79" i="15"/>
  <c r="K79" i="15"/>
  <c r="J74" i="15"/>
  <c r="K74" i="15"/>
  <c r="J81" i="15"/>
  <c r="K81" i="15"/>
  <c r="J78" i="15"/>
  <c r="K78" i="15"/>
  <c r="V12" i="22"/>
  <c r="W12" i="22"/>
  <c r="B19" i="22"/>
  <c r="K14" i="15"/>
  <c r="J69" i="17"/>
  <c r="K84" i="17"/>
  <c r="F71" i="15"/>
  <c r="K71" i="15"/>
  <c r="J71" i="15"/>
  <c r="I71" i="15"/>
  <c r="J83" i="15"/>
  <c r="K83" i="15"/>
  <c r="J75" i="15"/>
  <c r="K75" i="15"/>
  <c r="C26" i="22"/>
  <c r="U26" i="22"/>
  <c r="B27" i="22"/>
  <c r="U23" i="22"/>
  <c r="J75" i="16"/>
  <c r="K75" i="16"/>
  <c r="F71" i="16"/>
  <c r="K71" i="16"/>
  <c r="J71" i="16"/>
  <c r="I71" i="16"/>
  <c r="J83" i="16"/>
  <c r="K83" i="16"/>
  <c r="K14" i="16"/>
  <c r="B20" i="22"/>
  <c r="C20" i="22"/>
  <c r="F69" i="16"/>
  <c r="K69" i="16"/>
  <c r="F70" i="16"/>
  <c r="K70" i="16"/>
  <c r="J70" i="16"/>
  <c r="I70" i="16"/>
  <c r="J74" i="16"/>
  <c r="K74" i="16"/>
  <c r="J81" i="16"/>
  <c r="K81" i="16"/>
  <c r="J79" i="16"/>
  <c r="K79" i="16"/>
  <c r="J78" i="16"/>
  <c r="K78" i="16"/>
  <c r="M21" i="22"/>
  <c r="U21" i="22"/>
  <c r="K86" i="17"/>
  <c r="K87" i="17"/>
  <c r="J14" i="16"/>
  <c r="J14" i="15"/>
  <c r="W13" i="22"/>
  <c r="B4" i="23"/>
  <c r="T12" i="22"/>
  <c r="I14" i="17"/>
  <c r="K84" i="16"/>
  <c r="J69" i="16"/>
  <c r="C27" i="22"/>
  <c r="U27" i="22"/>
  <c r="B28" i="22"/>
  <c r="C19" i="22"/>
  <c r="K84" i="15"/>
  <c r="J69" i="15"/>
  <c r="A11" i="23"/>
  <c r="A20" i="22"/>
  <c r="I69" i="17"/>
  <c r="I84" i="17"/>
  <c r="J84" i="17"/>
  <c r="J86" i="17"/>
  <c r="J87" i="17"/>
  <c r="U19" i="22"/>
  <c r="M20" i="22"/>
  <c r="U20" i="22"/>
  <c r="K86" i="16"/>
  <c r="K87" i="16"/>
  <c r="W14" i="22"/>
  <c r="B5" i="23"/>
  <c r="J84" i="15"/>
  <c r="J86" i="15"/>
  <c r="J87" i="15"/>
  <c r="I69" i="15"/>
  <c r="I84" i="15"/>
  <c r="B29" i="22"/>
  <c r="C28" i="22"/>
  <c r="U28" i="22"/>
  <c r="T13" i="22"/>
  <c r="I14" i="15"/>
  <c r="A21" i="22"/>
  <c r="A12" i="23"/>
  <c r="V20" i="22"/>
  <c r="I69" i="16"/>
  <c r="I84" i="16"/>
  <c r="J84" i="16"/>
  <c r="J86" i="16"/>
  <c r="J87" i="16"/>
  <c r="M19" i="22"/>
  <c r="M42" i="22"/>
  <c r="M43" i="22"/>
  <c r="K86" i="15"/>
  <c r="K87" i="15"/>
  <c r="I14" i="16"/>
  <c r="W15" i="22"/>
  <c r="T15" i="22"/>
  <c r="B6" i="23"/>
  <c r="V19" i="22"/>
  <c r="D15" i="24"/>
  <c r="D16" i="24"/>
  <c r="D27" i="24"/>
  <c r="A13" i="23"/>
  <c r="A22" i="22"/>
  <c r="V21" i="22"/>
  <c r="C29" i="22"/>
  <c r="U29" i="22"/>
  <c r="B30" i="22"/>
  <c r="T14" i="22"/>
  <c r="A14" i="23"/>
  <c r="A23" i="22"/>
  <c r="V22" i="22"/>
  <c r="C30" i="22"/>
  <c r="B31" i="22"/>
  <c r="W16" i="22"/>
  <c r="B7" i="23"/>
  <c r="T16" i="22"/>
  <c r="W17" i="22"/>
  <c r="B8" i="23"/>
  <c r="T17" i="22"/>
  <c r="A15" i="23"/>
  <c r="A24" i="22"/>
  <c r="V23" i="22"/>
  <c r="C31" i="22"/>
  <c r="U31" i="22"/>
  <c r="B32" i="22"/>
  <c r="U30" i="22"/>
  <c r="B33" i="22"/>
  <c r="C32" i="22"/>
  <c r="A16" i="23"/>
  <c r="A25" i="22"/>
  <c r="V24" i="22"/>
  <c r="W18" i="22"/>
  <c r="B9" i="23"/>
  <c r="T18" i="22"/>
  <c r="W19" i="22"/>
  <c r="T19" i="22"/>
  <c r="B10" i="23"/>
  <c r="U32" i="22"/>
  <c r="A17" i="23"/>
  <c r="A26" i="22"/>
  <c r="V25" i="22"/>
  <c r="C33" i="22"/>
  <c r="U33" i="22"/>
  <c r="B34" i="22"/>
  <c r="A18" i="23"/>
  <c r="A27" i="22"/>
  <c r="V26" i="22"/>
  <c r="C34" i="22"/>
  <c r="U34" i="22"/>
  <c r="B35" i="22"/>
  <c r="W20" i="22"/>
  <c r="T20" i="22"/>
  <c r="B11" i="23"/>
  <c r="A19" i="23"/>
  <c r="A28" i="22"/>
  <c r="V27" i="22"/>
  <c r="W21" i="22"/>
  <c r="B12" i="23"/>
  <c r="C35" i="22"/>
  <c r="U35" i="22"/>
  <c r="B36" i="22"/>
  <c r="A20" i="23"/>
  <c r="A29" i="22"/>
  <c r="V28" i="22"/>
  <c r="B37" i="22"/>
  <c r="C36" i="22"/>
  <c r="U36" i="22"/>
  <c r="W22" i="22"/>
  <c r="B13" i="23"/>
  <c r="T22" i="22"/>
  <c r="T21" i="22"/>
  <c r="C37" i="22"/>
  <c r="U37" i="22"/>
  <c r="B38" i="22"/>
  <c r="W23" i="22"/>
  <c r="B14" i="23"/>
  <c r="A21" i="23"/>
  <c r="V29" i="22"/>
  <c r="A30" i="22"/>
  <c r="W24" i="22"/>
  <c r="T24" i="22"/>
  <c r="B15" i="23"/>
  <c r="B39" i="22"/>
  <c r="C38" i="22"/>
  <c r="U38" i="22"/>
  <c r="A22" i="23"/>
  <c r="A31" i="22"/>
  <c r="V30" i="22"/>
  <c r="T23" i="22"/>
  <c r="C39" i="22"/>
  <c r="U39" i="22"/>
  <c r="B40" i="22"/>
  <c r="A23" i="23"/>
  <c r="A32" i="22"/>
  <c r="V31" i="22"/>
  <c r="W25" i="22"/>
  <c r="B16" i="23"/>
  <c r="T25" i="22"/>
  <c r="A24" i="23"/>
  <c r="A33" i="22"/>
  <c r="V32" i="22"/>
  <c r="W26" i="22"/>
  <c r="B17" i="23"/>
  <c r="B41" i="22"/>
  <c r="C40" i="22"/>
  <c r="U40" i="22"/>
  <c r="C41" i="22"/>
  <c r="B42" i="22"/>
  <c r="B43" i="22"/>
  <c r="W27" i="22"/>
  <c r="B18" i="23"/>
  <c r="T26" i="22"/>
  <c r="A25" i="23"/>
  <c r="A34" i="22"/>
  <c r="V33" i="22"/>
  <c r="A26" i="23"/>
  <c r="A35" i="22"/>
  <c r="V34" i="22"/>
  <c r="W28" i="22"/>
  <c r="B19" i="23"/>
  <c r="N44" i="22"/>
  <c r="E44" i="22"/>
  <c r="P44" i="22"/>
  <c r="Q44" i="22"/>
  <c r="K44" i="22"/>
  <c r="L44" i="22"/>
  <c r="O44" i="22"/>
  <c r="G44" i="22"/>
  <c r="I44" i="22"/>
  <c r="R44" i="22"/>
  <c r="S44" i="22"/>
  <c r="F44" i="22"/>
  <c r="H44" i="22"/>
  <c r="J44" i="22"/>
  <c r="M44" i="22"/>
  <c r="T27" i="22"/>
  <c r="U41" i="22"/>
  <c r="B52" i="22"/>
  <c r="B31" i="24"/>
  <c r="C42" i="22"/>
  <c r="C43" i="22"/>
  <c r="I45" i="22"/>
  <c r="F38" i="23"/>
  <c r="B11" i="24"/>
  <c r="K45" i="22"/>
  <c r="H38" i="23"/>
  <c r="F40" i="23"/>
  <c r="B13" i="24"/>
  <c r="N45" i="22"/>
  <c r="K38" i="23"/>
  <c r="H40" i="23"/>
  <c r="B19" i="24"/>
  <c r="D4" i="24"/>
  <c r="D29" i="24"/>
  <c r="C44" i="22"/>
  <c r="C51" i="22"/>
  <c r="R45" i="22"/>
  <c r="B23" i="24"/>
  <c r="O38" i="23"/>
  <c r="J40" i="23"/>
  <c r="F45" i="22"/>
  <c r="C38" i="23"/>
  <c r="C40" i="23"/>
  <c r="B8" i="24"/>
  <c r="G45" i="22"/>
  <c r="B9" i="24"/>
  <c r="D38" i="23"/>
  <c r="D40" i="23"/>
  <c r="B22" i="24"/>
  <c r="N38" i="23"/>
  <c r="Q45" i="22"/>
  <c r="A27" i="23"/>
  <c r="A36" i="22"/>
  <c r="V35" i="22"/>
  <c r="J45" i="22"/>
  <c r="B12" i="24"/>
  <c r="G38" i="23"/>
  <c r="L45" i="22"/>
  <c r="I38" i="23"/>
  <c r="B14" i="24"/>
  <c r="E45" i="22"/>
  <c r="B7" i="24"/>
  <c r="B38" i="23"/>
  <c r="B40" i="23"/>
  <c r="W29" i="22"/>
  <c r="B20" i="23"/>
  <c r="T29" i="22"/>
  <c r="H45" i="22"/>
  <c r="E38" i="23"/>
  <c r="E40" i="23"/>
  <c r="B10" i="24"/>
  <c r="M45" i="22"/>
  <c r="J38" i="23"/>
  <c r="G40" i="23"/>
  <c r="B15" i="24"/>
  <c r="B24" i="24"/>
  <c r="P38" i="23"/>
  <c r="K40" i="23"/>
  <c r="S45" i="22"/>
  <c r="B20" i="24"/>
  <c r="O45" i="22"/>
  <c r="L38" i="23"/>
  <c r="P45" i="22"/>
  <c r="M38" i="23"/>
  <c r="I40" i="23"/>
  <c r="B21" i="24"/>
  <c r="T28" i="22"/>
  <c r="C21" i="24"/>
  <c r="M42" i="23"/>
  <c r="I44" i="23"/>
  <c r="C10" i="24"/>
  <c r="E42" i="23"/>
  <c r="E44" i="23"/>
  <c r="N42" i="23"/>
  <c r="C22" i="24"/>
  <c r="C13" i="24"/>
  <c r="H42" i="23"/>
  <c r="F44" i="23"/>
  <c r="B16" i="24"/>
  <c r="C9" i="24"/>
  <c r="D42" i="23"/>
  <c r="D44" i="23"/>
  <c r="C45" i="22"/>
  <c r="B4" i="24"/>
  <c r="B51" i="22"/>
  <c r="C19" i="24"/>
  <c r="K42" i="23"/>
  <c r="H44" i="23"/>
  <c r="C15" i="24"/>
  <c r="J42" i="23"/>
  <c r="G44" i="23"/>
  <c r="C14" i="24"/>
  <c r="I42" i="23"/>
  <c r="L42" i="23"/>
  <c r="C20" i="24"/>
  <c r="C7" i="24"/>
  <c r="B42" i="23"/>
  <c r="B44" i="23"/>
  <c r="A28" i="23"/>
  <c r="A37" i="22"/>
  <c r="V36" i="22"/>
  <c r="C24" i="24"/>
  <c r="P42" i="23"/>
  <c r="K44" i="23"/>
  <c r="C12" i="24"/>
  <c r="G42" i="23"/>
  <c r="C8" i="24"/>
  <c r="C42" i="23"/>
  <c r="C44" i="23"/>
  <c r="W30" i="22"/>
  <c r="B21" i="23"/>
  <c r="T30" i="22"/>
  <c r="C23" i="24"/>
  <c r="O42" i="23"/>
  <c r="J44" i="23"/>
  <c r="B25" i="24"/>
  <c r="B27" i="24"/>
  <c r="C11" i="24"/>
  <c r="F42" i="23"/>
  <c r="C16" i="24"/>
  <c r="C25" i="24"/>
  <c r="C27" i="24"/>
  <c r="W31" i="22"/>
  <c r="B22" i="23"/>
  <c r="A29" i="23"/>
  <c r="A38" i="22"/>
  <c r="V37" i="22"/>
  <c r="C4" i="24"/>
  <c r="C29" i="24"/>
  <c r="D51" i="22"/>
  <c r="B29" i="24"/>
  <c r="W32" i="22"/>
  <c r="T32" i="22"/>
  <c r="B23" i="23"/>
  <c r="A30" i="23"/>
  <c r="A39" i="22"/>
  <c r="V38" i="22"/>
  <c r="T31" i="22"/>
  <c r="A31" i="23"/>
  <c r="A40" i="22"/>
  <c r="V39" i="22"/>
  <c r="W33" i="22"/>
  <c r="B24" i="23"/>
  <c r="W34" i="22"/>
  <c r="B25" i="23"/>
  <c r="T34" i="22"/>
  <c r="T33" i="22"/>
  <c r="A32" i="23"/>
  <c r="A41" i="22"/>
  <c r="V40" i="22"/>
  <c r="A33" i="23"/>
  <c r="V41" i="22"/>
  <c r="W35" i="22"/>
  <c r="B26" i="23"/>
  <c r="W36" i="22"/>
  <c r="T36" i="22"/>
  <c r="B27" i="23"/>
  <c r="T35" i="22"/>
  <c r="W37" i="22"/>
  <c r="B28" i="23"/>
  <c r="T37" i="22"/>
  <c r="W38" i="22"/>
  <c r="B29" i="23"/>
  <c r="T38" i="22"/>
  <c r="W39" i="22"/>
  <c r="B30" i="23"/>
  <c r="T39" i="22"/>
  <c r="B31" i="23"/>
  <c r="W40" i="22"/>
  <c r="W41" i="22"/>
  <c r="B32" i="23"/>
  <c r="T41" i="22"/>
  <c r="T40" i="22"/>
  <c r="B33" i="23"/>
  <c r="B34" i="24"/>
  <c r="B33" i="24"/>
</calcChain>
</file>

<file path=xl/sharedStrings.xml><?xml version="1.0" encoding="utf-8"?>
<sst xmlns="http://schemas.openxmlformats.org/spreadsheetml/2006/main" count="1966" uniqueCount="251">
  <si>
    <t>Farm Parameters</t>
  </si>
  <si>
    <t>Area of plantings</t>
  </si>
  <si>
    <t>hectares</t>
  </si>
  <si>
    <t>Trees per hectare</t>
  </si>
  <si>
    <t>Total number of trees</t>
  </si>
  <si>
    <t>Control Labour ($ per Hour)</t>
  </si>
  <si>
    <t>Prices and Yields</t>
  </si>
  <si>
    <t>Packaging and Prices</t>
  </si>
  <si>
    <t>Number of kilograms per bulk box</t>
  </si>
  <si>
    <t>Number of kilograms per tray</t>
  </si>
  <si>
    <t>Grade</t>
  </si>
  <si>
    <t>$ per Kilogram</t>
  </si>
  <si>
    <t>$ per Carton or Tray</t>
  </si>
  <si>
    <t>% of Sales</t>
  </si>
  <si>
    <t>Class 1 - Tray</t>
  </si>
  <si>
    <t>Class 2 - Tray</t>
  </si>
  <si>
    <t>Slices</t>
  </si>
  <si>
    <t>Average ($/kg)</t>
  </si>
  <si>
    <t>Yields (Saleable Product Only)</t>
  </si>
  <si>
    <t>Year</t>
  </si>
  <si>
    <t>12+</t>
  </si>
  <si>
    <t>Year 1 Production Gross Margin</t>
  </si>
  <si>
    <t>Planting and Yield Details</t>
  </si>
  <si>
    <t>Number of trees per hectare</t>
  </si>
  <si>
    <t>Yield (Tray Equivalent per Tree)</t>
  </si>
  <si>
    <t>Price received ($ per Kg) - Average</t>
  </si>
  <si>
    <t>Spray rate (Litres per Ha)</t>
  </si>
  <si>
    <t>(A) Income</t>
  </si>
  <si>
    <t>Trays/Ha</t>
  </si>
  <si>
    <t>$/Tray</t>
  </si>
  <si>
    <t>$/Tree</t>
  </si>
  <si>
    <t>$/Ha</t>
  </si>
  <si>
    <t xml:space="preserve"> </t>
  </si>
  <si>
    <t>Gross Receipts</t>
  </si>
  <si>
    <t>(B) Variable costs</t>
  </si>
  <si>
    <t>Pre-Harvest</t>
  </si>
  <si>
    <t>Operations</t>
  </si>
  <si>
    <t>Units</t>
  </si>
  <si>
    <t>Units/Tree</t>
  </si>
  <si>
    <t>Units/Ha</t>
  </si>
  <si>
    <t>$/Unit</t>
  </si>
  <si>
    <t>Machinery operations (Fuel &amp; oil)</t>
  </si>
  <si>
    <t>Slashing</t>
  </si>
  <si>
    <t>Hours</t>
  </si>
  <si>
    <t xml:space="preserve"> -</t>
  </si>
  <si>
    <t>Spraying</t>
  </si>
  <si>
    <t>Fertiliser</t>
  </si>
  <si>
    <t>Total</t>
  </si>
  <si>
    <t>Pruning &amp; Fosject Injection Labour</t>
  </si>
  <si>
    <t>Fosject Injection</t>
  </si>
  <si>
    <t>Stacking &amp; Chipping</t>
  </si>
  <si>
    <t>Hand Pruning Labour</t>
  </si>
  <si>
    <t>Urea (fertigate)</t>
  </si>
  <si>
    <t>Kg</t>
  </si>
  <si>
    <t>CK77S</t>
  </si>
  <si>
    <t>Fowl Manure</t>
  </si>
  <si>
    <t>Litres</t>
  </si>
  <si>
    <t>Mulch</t>
  </si>
  <si>
    <t>Bale</t>
  </si>
  <si>
    <t>KNO3</t>
  </si>
  <si>
    <t>Zinc Sulphate (Hand)</t>
  </si>
  <si>
    <t>Solubor (Fertigated)</t>
  </si>
  <si>
    <t>Dolomite/Gypsum (per Ha)</t>
  </si>
  <si>
    <t>Herbicide</t>
  </si>
  <si>
    <t>Roundup</t>
  </si>
  <si>
    <t>Other</t>
  </si>
  <si>
    <t>Insecticide</t>
  </si>
  <si>
    <t>Active Ing / 100L</t>
  </si>
  <si>
    <t>Endosulfan</t>
  </si>
  <si>
    <t>Lorsban</t>
  </si>
  <si>
    <t>Torque</t>
  </si>
  <si>
    <t>Rogor</t>
  </si>
  <si>
    <t>Fungicide</t>
  </si>
  <si>
    <t>Kocide</t>
  </si>
  <si>
    <t>Fosject</t>
  </si>
  <si>
    <t>Irrigation &amp; Pumping</t>
  </si>
  <si>
    <t>ML</t>
  </si>
  <si>
    <t>Unspecified Casual Labour</t>
  </si>
  <si>
    <t>Total Pre-Harvest Costs</t>
  </si>
  <si>
    <t>Harvesting &amp; Freight Costs - Inputs</t>
  </si>
  <si>
    <t>No. of trays per pallet</t>
  </si>
  <si>
    <t>No. of cartons per pallet</t>
  </si>
  <si>
    <t>Class 1  -no. tray equivalents</t>
  </si>
  <si>
    <t>trays/tree</t>
  </si>
  <si>
    <t>Class 2 -no. tray equivalents</t>
  </si>
  <si>
    <t>Bulk cartons -no. tray equivalents</t>
  </si>
  <si>
    <t>Slices -no. carton equivalents</t>
  </si>
  <si>
    <t>Harvesting &amp; Freight Costs</t>
  </si>
  <si>
    <t>Trays/Hour</t>
  </si>
  <si>
    <t>No. Casual Staff</t>
  </si>
  <si>
    <t xml:space="preserve">$/Hour </t>
  </si>
  <si>
    <t>Picking</t>
  </si>
  <si>
    <t>Packing Trays</t>
  </si>
  <si>
    <t>Packing Bulk Cartons</t>
  </si>
  <si>
    <t>Pallet Hire</t>
  </si>
  <si>
    <t>Strapping</t>
  </si>
  <si>
    <t>Packaging (Tray)</t>
  </si>
  <si>
    <t>Packaging (Box)**</t>
  </si>
  <si>
    <t>Gas</t>
  </si>
  <si>
    <t>Lebaycid &amp; Sportac</t>
  </si>
  <si>
    <t>Commission</t>
  </si>
  <si>
    <t>Levies</t>
  </si>
  <si>
    <t>Freight (refrigerated)</t>
  </si>
  <si>
    <t>Cost/pallet ($)</t>
  </si>
  <si>
    <t>Brisbane (Class 1)</t>
  </si>
  <si>
    <t>Brisbane (Class 2)</t>
  </si>
  <si>
    <t>Brisbane (Bulk Boxes)*</t>
  </si>
  <si>
    <t>Total Harvesting &amp; Freight Costs</t>
  </si>
  <si>
    <t>Total variable costs</t>
  </si>
  <si>
    <t>Gross margin</t>
  </si>
  <si>
    <t>*For bulk boxes change the word trays for boxes</t>
  </si>
  <si>
    <t>**Cost/tray figure in this case is cost per box</t>
  </si>
  <si>
    <t>Year 2 Production Gross Margin</t>
  </si>
  <si>
    <t>Year 3 Production Gross Margin</t>
  </si>
  <si>
    <t>Year 4 Production Gross Margin</t>
  </si>
  <si>
    <t>Year 5 Production Gross Margin</t>
  </si>
  <si>
    <t>Year 6 Production Gross Margin</t>
  </si>
  <si>
    <t>Year 7 Production Gross Margin</t>
  </si>
  <si>
    <t>Year 8 Production Gross Margin</t>
  </si>
  <si>
    <t>Year 9 Production Gross Margin</t>
  </si>
  <si>
    <t>Year 10 Production Gross Margin</t>
  </si>
  <si>
    <t>Year 11 Production Gross Margin</t>
  </si>
  <si>
    <t>Year 12+ Production Gross Margin</t>
  </si>
  <si>
    <t>Fixed Costs</t>
  </si>
  <si>
    <t>$ per Year</t>
  </si>
  <si>
    <t>Repairs &amp; Maintenance</t>
  </si>
  <si>
    <t>Fuel &amp; Oil (non specialised)</t>
  </si>
  <si>
    <t>Electricity</t>
  </si>
  <si>
    <t>Administration</t>
  </si>
  <si>
    <t xml:space="preserve">   -Accountancy</t>
  </si>
  <si>
    <t xml:space="preserve">   -Telephone</t>
  </si>
  <si>
    <t xml:space="preserve">   -Registrations</t>
  </si>
  <si>
    <t xml:space="preserve">   -Insurances</t>
  </si>
  <si>
    <t xml:space="preserve">   -Sundry</t>
  </si>
  <si>
    <t xml:space="preserve">   -Rates</t>
  </si>
  <si>
    <t>Total administration</t>
  </si>
  <si>
    <t>Owner/operator labour</t>
  </si>
  <si>
    <t>Total (excludes depreciation)</t>
  </si>
  <si>
    <t>Capital Requirements</t>
  </si>
  <si>
    <t>Year of Purchase or Replacement (Place a 'p' or 'r' in the respective year)</t>
  </si>
  <si>
    <t>Purchase ($)</t>
  </si>
  <si>
    <t>Scrap Value (%)</t>
  </si>
  <si>
    <t>Scrap Value ($)</t>
  </si>
  <si>
    <t>Motor Vehicles and Tractors</t>
  </si>
  <si>
    <t>Tractor - 90HP</t>
  </si>
  <si>
    <t>p</t>
  </si>
  <si>
    <t>r</t>
  </si>
  <si>
    <t>Tractor - 18HP</t>
  </si>
  <si>
    <t>Truck - 3 tonne*</t>
  </si>
  <si>
    <t>Forklift attachment</t>
  </si>
  <si>
    <t xml:space="preserve">Forklift </t>
  </si>
  <si>
    <t>Utility 4x4*</t>
  </si>
  <si>
    <t>Cultivation,planting,spraying</t>
  </si>
  <si>
    <t>Spray machine (blower)</t>
  </si>
  <si>
    <t>Trailers x2</t>
  </si>
  <si>
    <t>Fert. spreader</t>
  </si>
  <si>
    <t>Coolroom</t>
  </si>
  <si>
    <t>Boom sprayer</t>
  </si>
  <si>
    <t>Slasher</t>
  </si>
  <si>
    <t>Cherry picker x2</t>
  </si>
  <si>
    <t>Chipper</t>
  </si>
  <si>
    <t>Crates</t>
  </si>
  <si>
    <t>Seringes for Fosject</t>
  </si>
  <si>
    <t>Packing shed machinery</t>
  </si>
  <si>
    <t>Grass rake (mulching)</t>
  </si>
  <si>
    <t>Stakes &amp; bags</t>
  </si>
  <si>
    <t>Pruning equipment</t>
  </si>
  <si>
    <t>Drench for plants</t>
  </si>
  <si>
    <t>Trees (grown at home)</t>
  </si>
  <si>
    <t>Land preparation</t>
  </si>
  <si>
    <t>Grass seed</t>
  </si>
  <si>
    <t>Planting labour (casual)</t>
  </si>
  <si>
    <t>Irrigation &amp; Water Supply Plant</t>
  </si>
  <si>
    <t>Unspec</t>
  </si>
  <si>
    <t>Pump/motor/connection to power</t>
  </si>
  <si>
    <t>Small dam (5ML)</t>
  </si>
  <si>
    <t>Water nominal allocation</t>
  </si>
  <si>
    <t>Filter</t>
  </si>
  <si>
    <t>Fertigator</t>
  </si>
  <si>
    <t>Workshop &amp; Office Equipment</t>
  </si>
  <si>
    <t>Misc. tools</t>
  </si>
  <si>
    <t>Pallet strapper, trolley</t>
  </si>
  <si>
    <t>Buildings and Sheds</t>
  </si>
  <si>
    <t>Packing shed &amp; storage shed</t>
  </si>
  <si>
    <t>Electricity to shed</t>
  </si>
  <si>
    <t>Workers' Accomodation</t>
  </si>
  <si>
    <t>Land</t>
  </si>
  <si>
    <t>Value of Land**</t>
  </si>
  <si>
    <t>Total Capital Requirements ($)</t>
  </si>
  <si>
    <t>Total Capital Less Land ($)</t>
  </si>
  <si>
    <t>*     Second hand market values used</t>
  </si>
  <si>
    <t xml:space="preserve">**    The value of land in this DCF represents the opportunity cost of the bare land ($1500/ha) which is cleared and has access to irrigation. </t>
  </si>
  <si>
    <t>Discounted Cash Flow</t>
  </si>
  <si>
    <t xml:space="preserve">Discount rate used </t>
  </si>
  <si>
    <t>Steady-state yield (trays/tree)</t>
  </si>
  <si>
    <t>Avocado price ($/tray)</t>
  </si>
  <si>
    <t>Area of planting (ha)</t>
  </si>
  <si>
    <t>Total no. trees</t>
  </si>
  <si>
    <t>No. of trees per ha</t>
  </si>
  <si>
    <t>Trays</t>
  </si>
  <si>
    <t>$</t>
  </si>
  <si>
    <t>Machinery Ops</t>
  </si>
  <si>
    <t>Casual Labour</t>
  </si>
  <si>
    <t>Irrigation</t>
  </si>
  <si>
    <t>Harvesting and Marketing</t>
  </si>
  <si>
    <t>Repair and Maint</t>
  </si>
  <si>
    <t>Fuel and Oil</t>
  </si>
  <si>
    <t>Family Labour</t>
  </si>
  <si>
    <t>Capital</t>
  </si>
  <si>
    <t>Annual CF ($)</t>
  </si>
  <si>
    <t>Discounted ACF ($)</t>
  </si>
  <si>
    <t>DCF ($)</t>
  </si>
  <si>
    <t>NPV</t>
  </si>
  <si>
    <t>Av./farm/yr($)</t>
  </si>
  <si>
    <t>Av./tray equiv. ($)</t>
  </si>
  <si>
    <t>Av./tree ($)</t>
  </si>
  <si>
    <t>** Steady state yields are achieved from year twelve onwards.</t>
  </si>
  <si>
    <t>$/ctn</t>
  </si>
  <si>
    <t>$/farm</t>
  </si>
  <si>
    <t>$/tree</t>
  </si>
  <si>
    <t>IRR</t>
  </si>
  <si>
    <t>Graphs</t>
  </si>
  <si>
    <t>Discounted accumulative cash flow ($)</t>
  </si>
  <si>
    <t>$/tray equiv.</t>
  </si>
  <si>
    <t>Fuel &amp; oil</t>
  </si>
  <si>
    <t>Pruning</t>
  </si>
  <si>
    <t>Herbicide/insecticide/fungicide</t>
  </si>
  <si>
    <t>Harvesting &amp; marketing</t>
  </si>
  <si>
    <t>Repairs &amp; maintenance</t>
  </si>
  <si>
    <t>Owner's labour</t>
  </si>
  <si>
    <t>Capital purchases</t>
  </si>
  <si>
    <t>Machinery operations</t>
  </si>
  <si>
    <t>Unspec. casual labour</t>
  </si>
  <si>
    <t>Admin.</t>
  </si>
  <si>
    <t>Family labour ($)</t>
  </si>
  <si>
    <t>Planting &amp; capital purchases ($)</t>
  </si>
  <si>
    <t>Pruning &amp; Fosject injection</t>
  </si>
  <si>
    <t>Summary Sheet</t>
  </si>
  <si>
    <t>$ per Carton</t>
  </si>
  <si>
    <t>$ per Tree</t>
  </si>
  <si>
    <t>$ per Farm</t>
  </si>
  <si>
    <t>Variable Costs</t>
  </si>
  <si>
    <t>Total Variable Costs</t>
  </si>
  <si>
    <t>Total Fixed Costs</t>
  </si>
  <si>
    <t>Total Costs ($)</t>
  </si>
  <si>
    <t>Internal Rate of Return</t>
  </si>
  <si>
    <t>Payback Period (years)</t>
  </si>
  <si>
    <t>Year of Peak Overdraft</t>
  </si>
  <si>
    <t>Peak Overdraft</t>
  </si>
  <si>
    <t>Machinery Operations (Fuel &amp; oil)</t>
  </si>
  <si>
    <t>EAR - Farm Profit ($)</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</si>
</sst>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_-;\-* #,##0.00_-;_-* &quot;-&quot;??_-;_-@_-"/>
    <numFmt numFmtId="164" formatCode="&quot;$&quot;#,##0.00"/>
    <numFmt numFmtId="165" formatCode="&quot;$&quot;#,##0.00_);\(&quot;$&quot;#,##0.00\)"/>
    <numFmt numFmtId="166" formatCode="0.0"/>
    <numFmt numFmtId="167" formatCode="&quot;$&quot;#,##0_);\(&quot;$&quot;#,##0\)"/>
    <numFmt numFmtId="168" formatCode="&quot;$&quot;#,##0_);[Red]\(&quot;$&quot;#,##0\)"/>
    <numFmt numFmtId="169" formatCode="&quot;$&quot;#,##0.00_);[Red]\(&quot;$&quot;#,##0.00\)"/>
    <numFmt numFmtId="173" formatCode="_(* #,##0.00_);_(* \(#,##0.00\);_(* &quot;-&quot;??_);_(@_)"/>
    <numFmt numFmtId="176" formatCode="0.000"/>
    <numFmt numFmtId="187" formatCode="&quot;$&quot;#,##0.0000_);\(&quot;$&quot;#,##0.0000\)"/>
    <numFmt numFmtId="189" formatCode="#,##0.000"/>
    <numFmt numFmtId="193" formatCode="&quot;$&quot;#,##0"/>
    <numFmt numFmtId="199" formatCode="0.00_)"/>
    <numFmt numFmtId="200" formatCode="0.00;[Red]0.00"/>
    <numFmt numFmtId="201" formatCode="_-* #,##0.0_-;\-* #,##0.0_-;_-* &quot;-&quot;??_-;_-@_-"/>
    <numFmt numFmtId="202" formatCode="#,##0.00;[Red]\(#,##0.00\)"/>
    <numFmt numFmtId="203" formatCode="_(* #,##0.00000_);_(* \(#,##0.00000\);_(* &quot;-&quot;??_);_(@_)"/>
    <numFmt numFmtId="204" formatCode="_(* #,##0.0000000_);_(* \(#,##0.0000000\);_(* &quot;-&quot;??_);_(@_)"/>
    <numFmt numFmtId="205" formatCode="#,###"/>
    <numFmt numFmtId="206" formatCode="_-&quot;$&quot;* #,##0_-;\-&quot;$&quot;* #,##0_-;_-&quot;$&quot;* &quot;-&quot;??_-;_-@_-"/>
    <numFmt numFmtId="207" formatCode="0.00_);[Red]\(0.00\)"/>
  </numFmts>
  <fonts count="18" x14ac:knownFonts="1">
    <font>
      <sz val="10"/>
      <name val="Arial"/>
    </font>
    <font>
      <sz val="10"/>
      <name val="Arial"/>
    </font>
    <font>
      <b/>
      <sz val="20"/>
      <name val="Arial"/>
      <family val="2"/>
    </font>
    <font>
      <b/>
      <sz val="12"/>
      <name val="Arial"/>
      <family val="2"/>
    </font>
    <font>
      <b/>
      <sz val="12"/>
      <color indexed="9"/>
      <name val="Arial"/>
      <family val="2"/>
    </font>
    <font>
      <sz val="8"/>
      <name val="Arial"/>
      <family val="2"/>
    </font>
    <font>
      <b/>
      <i/>
      <sz val="14"/>
      <name val="Arial"/>
      <family val="2"/>
    </font>
    <font>
      <b/>
      <sz val="12"/>
      <color indexed="10"/>
      <name val="Arial"/>
      <family val="2"/>
    </font>
    <font>
      <sz val="12"/>
      <name val="Times New Roman"/>
      <family val="1"/>
    </font>
    <font>
      <b/>
      <u/>
      <sz val="12"/>
      <name val="Arial"/>
      <family val="2"/>
    </font>
    <font>
      <sz val="12"/>
      <name val="Arial"/>
      <family val="2"/>
    </font>
    <font>
      <sz val="12"/>
      <color indexed="8"/>
      <name val="Arial"/>
      <family val="2"/>
    </font>
    <font>
      <sz val="12"/>
      <color indexed="9"/>
      <name val="Arial"/>
      <family val="2"/>
    </font>
    <font>
      <b/>
      <sz val="18"/>
      <color indexed="9"/>
      <name val="Arial"/>
      <family val="2"/>
    </font>
    <font>
      <sz val="10"/>
      <name val="Times New Roman"/>
      <family val="1"/>
    </font>
    <font>
      <sz val="10"/>
      <name val="MS Sans Serif"/>
      <family val="2"/>
    </font>
    <font>
      <sz val="10"/>
      <color indexed="8"/>
      <name val="Arial"/>
      <family val="2"/>
    </font>
    <font>
      <b/>
      <i/>
      <sz val="16"/>
      <name val="Helv"/>
    </font>
  </fonts>
  <fills count="11">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17"/>
        <bgColor indexed="64"/>
      </patternFill>
    </fill>
    <fill>
      <patternFill patternType="solid">
        <fgColor indexed="22"/>
        <bgColor indexed="64"/>
      </patternFill>
    </fill>
    <fill>
      <patternFill patternType="solid">
        <fgColor indexed="58"/>
        <bgColor indexed="64"/>
      </patternFill>
    </fill>
    <fill>
      <patternFill patternType="solid">
        <fgColor indexed="27"/>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1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9">
    <xf numFmtId="0" fontId="0" fillId="0" borderId="0"/>
    <xf numFmtId="202" fontId="14" fillId="0" borderId="0" applyFill="0" applyBorder="0" applyAlignment="0"/>
    <xf numFmtId="202" fontId="14" fillId="0" borderId="0" applyFill="0" applyBorder="0" applyAlignment="0"/>
    <xf numFmtId="204" fontId="15" fillId="0" borderId="0" applyFill="0" applyBorder="0" applyAlignment="0"/>
    <xf numFmtId="200" fontId="1" fillId="0" borderId="0" applyFill="0" applyBorder="0" applyAlignment="0"/>
    <xf numFmtId="205" fontId="15" fillId="0" borderId="0" applyFill="0" applyBorder="0" applyAlignment="0"/>
    <xf numFmtId="202" fontId="14" fillId="0" borderId="0" applyFill="0" applyBorder="0" applyAlignment="0"/>
    <xf numFmtId="203" fontId="1" fillId="0" borderId="0" applyFill="0" applyBorder="0" applyAlignment="0"/>
    <xf numFmtId="202" fontId="14" fillId="0" borderId="0" applyFill="0" applyBorder="0" applyAlignment="0"/>
    <xf numFmtId="43" fontId="1" fillId="0" borderId="0" applyFont="0" applyFill="0" applyBorder="0" applyAlignment="0" applyProtection="0"/>
    <xf numFmtId="202" fontId="14" fillId="0" borderId="0" applyFont="0" applyFill="0" applyBorder="0" applyAlignment="0" applyProtection="0"/>
    <xf numFmtId="173" fontId="8" fillId="0" borderId="0" applyFont="0" applyFill="0" applyBorder="0" applyAlignment="0" applyProtection="0"/>
    <xf numFmtId="202" fontId="14" fillId="0" borderId="0" applyFont="0" applyFill="0" applyBorder="0" applyAlignment="0" applyProtection="0"/>
    <xf numFmtId="14" fontId="16" fillId="0" borderId="0" applyFill="0" applyBorder="0" applyAlignment="0"/>
    <xf numFmtId="202" fontId="14" fillId="0" borderId="0" applyFill="0" applyBorder="0" applyAlignment="0"/>
    <xf numFmtId="202" fontId="14" fillId="0" borderId="0" applyFill="0" applyBorder="0" applyAlignment="0"/>
    <xf numFmtId="202" fontId="14" fillId="0" borderId="0" applyFill="0" applyBorder="0" applyAlignment="0"/>
    <xf numFmtId="203" fontId="1" fillId="0" borderId="0" applyFill="0" applyBorder="0" applyAlignment="0"/>
    <xf numFmtId="202" fontId="14" fillId="0" borderId="0" applyFill="0" applyBorder="0" applyAlignment="0"/>
    <xf numFmtId="0" fontId="3" fillId="0" borderId="1" applyNumberFormat="0" applyAlignment="0" applyProtection="0">
      <alignment horizontal="left" vertical="center"/>
    </xf>
    <xf numFmtId="0" fontId="3" fillId="0" borderId="2">
      <alignment horizontal="left" vertical="center"/>
    </xf>
    <xf numFmtId="202" fontId="14" fillId="0" borderId="0" applyFill="0" applyBorder="0" applyAlignment="0"/>
    <xf numFmtId="202" fontId="14" fillId="0" borderId="0" applyFill="0" applyBorder="0" applyAlignment="0"/>
    <xf numFmtId="202" fontId="14" fillId="0" borderId="0" applyFill="0" applyBorder="0" applyAlignment="0"/>
    <xf numFmtId="203" fontId="1" fillId="0" borderId="0" applyFill="0" applyBorder="0" applyAlignment="0"/>
    <xf numFmtId="202" fontId="14" fillId="0" borderId="0" applyFill="0" applyBorder="0" applyAlignment="0"/>
    <xf numFmtId="199" fontId="17" fillId="0" borderId="0"/>
    <xf numFmtId="0" fontId="8" fillId="0" borderId="0"/>
    <xf numFmtId="0" fontId="1" fillId="0" borderId="0"/>
    <xf numFmtId="205" fontId="15" fillId="0" borderId="0" applyFont="0" applyFill="0" applyBorder="0" applyAlignment="0" applyProtection="0"/>
    <xf numFmtId="201" fontId="1" fillId="0" borderId="0" applyFont="0" applyFill="0" applyBorder="0" applyAlignment="0" applyProtection="0"/>
    <xf numFmtId="202" fontId="14" fillId="0" borderId="0" applyFill="0" applyBorder="0" applyAlignment="0"/>
    <xf numFmtId="202" fontId="14" fillId="0" borderId="0" applyFill="0" applyBorder="0" applyAlignment="0"/>
    <xf numFmtId="202" fontId="14" fillId="0" borderId="0" applyFill="0" applyBorder="0" applyAlignment="0"/>
    <xf numFmtId="203" fontId="1" fillId="0" borderId="0" applyFill="0" applyBorder="0" applyAlignment="0"/>
    <xf numFmtId="202" fontId="14" fillId="0" borderId="0" applyFill="0" applyBorder="0" applyAlignment="0"/>
    <xf numFmtId="49" fontId="16" fillId="0" borderId="0" applyFill="0" applyBorder="0" applyAlignment="0"/>
    <xf numFmtId="206" fontId="15" fillId="0" borderId="0" applyFill="0" applyBorder="0" applyAlignment="0"/>
    <xf numFmtId="207" fontId="15" fillId="0" borderId="0" applyFill="0" applyBorder="0" applyAlignment="0"/>
  </cellStyleXfs>
  <cellXfs count="485">
    <xf numFmtId="0" fontId="0" fillId="0" borderId="0" xfId="0"/>
    <xf numFmtId="0" fontId="2" fillId="0" borderId="0" xfId="0" applyFont="1"/>
    <xf numFmtId="0" fontId="3" fillId="0" borderId="0" xfId="0" applyFont="1"/>
    <xf numFmtId="2" fontId="4" fillId="2" borderId="3" xfId="0" applyNumberFormat="1" applyFont="1" applyFill="1" applyBorder="1" applyAlignment="1" applyProtection="1">
      <alignment horizontal="center"/>
    </xf>
    <xf numFmtId="0" fontId="3" fillId="3" borderId="3" xfId="0" applyFont="1" applyFill="1" applyBorder="1" applyAlignment="1" applyProtection="1">
      <alignment horizontal="center"/>
      <protection locked="0"/>
    </xf>
    <xf numFmtId="3" fontId="3" fillId="3" borderId="3" xfId="0" applyNumberFormat="1" applyFont="1" applyFill="1" applyBorder="1" applyAlignment="1" applyProtection="1">
      <alignment horizontal="center"/>
      <protection locked="0"/>
    </xf>
    <xf numFmtId="164" fontId="3" fillId="3" borderId="3" xfId="0" applyNumberFormat="1" applyFont="1" applyFill="1" applyBorder="1" applyAlignment="1" applyProtection="1">
      <alignment horizontal="center"/>
      <protection locked="0"/>
    </xf>
    <xf numFmtId="0" fontId="6" fillId="0" borderId="0" xfId="0" applyFont="1"/>
    <xf numFmtId="2" fontId="3" fillId="3" borderId="3" xfId="0" applyNumberFormat="1" applyFont="1" applyFill="1" applyBorder="1" applyAlignment="1" applyProtection="1">
      <alignment horizontal="center"/>
      <protection locked="0"/>
    </xf>
    <xf numFmtId="2" fontId="7" fillId="0" borderId="0" xfId="0" applyNumberFormat="1" applyFont="1"/>
    <xf numFmtId="2" fontId="3" fillId="0" borderId="0" xfId="0" applyNumberFormat="1" applyFont="1" applyFill="1" applyBorder="1" applyAlignment="1">
      <alignment horizontal="center"/>
    </xf>
    <xf numFmtId="0" fontId="3" fillId="0" borderId="0" xfId="0" applyFont="1" applyAlignment="1">
      <alignment wrapText="1"/>
    </xf>
    <xf numFmtId="0" fontId="4" fillId="4" borderId="4" xfId="0" applyFont="1" applyFill="1" applyBorder="1" applyAlignment="1">
      <alignment wrapText="1"/>
    </xf>
    <xf numFmtId="0" fontId="4" fillId="4" borderId="3" xfId="0" applyFont="1" applyFill="1" applyBorder="1" applyAlignment="1">
      <alignment horizontal="center"/>
    </xf>
    <xf numFmtId="0" fontId="4" fillId="4" borderId="2" xfId="0" applyFont="1" applyFill="1" applyBorder="1" applyAlignment="1">
      <alignment horizontal="center" wrapText="1"/>
    </xf>
    <xf numFmtId="0" fontId="4" fillId="4" borderId="3" xfId="0" applyFont="1" applyFill="1" applyBorder="1" applyAlignment="1">
      <alignment horizontal="center" wrapText="1"/>
    </xf>
    <xf numFmtId="0" fontId="3" fillId="0" borderId="3" xfId="0" applyFont="1" applyBorder="1"/>
    <xf numFmtId="164" fontId="4" fillId="2" borderId="3" xfId="0" applyNumberFormat="1" applyFont="1" applyFill="1" applyBorder="1" applyAlignment="1">
      <alignment horizontal="center"/>
    </xf>
    <xf numFmtId="165" fontId="3" fillId="3" borderId="3" xfId="0" applyNumberFormat="1" applyFont="1" applyFill="1" applyBorder="1" applyAlignment="1" applyProtection="1">
      <alignment horizontal="center"/>
      <protection locked="0"/>
    </xf>
    <xf numFmtId="10" fontId="3" fillId="3" borderId="3" xfId="0" applyNumberFormat="1" applyFont="1" applyFill="1" applyBorder="1" applyAlignment="1" applyProtection="1">
      <alignment horizontal="center"/>
      <protection locked="0"/>
    </xf>
    <xf numFmtId="165" fontId="4" fillId="2" borderId="3" xfId="0" applyNumberFormat="1" applyFont="1" applyFill="1" applyBorder="1" applyAlignment="1" applyProtection="1">
      <alignment horizontal="center"/>
    </xf>
    <xf numFmtId="0" fontId="4" fillId="2" borderId="4" xfId="0" applyFont="1" applyFill="1" applyBorder="1"/>
    <xf numFmtId="165" fontId="4" fillId="2" borderId="3" xfId="0" applyNumberFormat="1" applyFont="1" applyFill="1" applyBorder="1" applyAlignment="1">
      <alignment horizontal="center"/>
    </xf>
    <xf numFmtId="165" fontId="4" fillId="2" borderId="2" xfId="0" applyNumberFormat="1" applyFont="1" applyFill="1" applyBorder="1" applyAlignment="1">
      <alignment horizontal="center"/>
    </xf>
    <xf numFmtId="10" fontId="4" fillId="2" borderId="3" xfId="0" applyNumberFormat="1" applyFont="1" applyFill="1" applyBorder="1" applyAlignment="1">
      <alignment horizontal="center"/>
    </xf>
    <xf numFmtId="0" fontId="3" fillId="0" borderId="3" xfId="0" applyFont="1" applyBorder="1" applyAlignment="1">
      <alignment horizontal="center"/>
    </xf>
    <xf numFmtId="166" fontId="3" fillId="3" borderId="3" xfId="0" applyNumberFormat="1" applyFont="1" applyFill="1" applyBorder="1" applyAlignment="1" applyProtection="1">
      <alignment horizontal="center"/>
      <protection locked="0"/>
    </xf>
    <xf numFmtId="166" fontId="4" fillId="2" borderId="3" xfId="0" applyNumberFormat="1" applyFont="1" applyFill="1" applyBorder="1" applyAlignment="1" applyProtection="1">
      <alignment horizontal="center"/>
    </xf>
    <xf numFmtId="0" fontId="2" fillId="0" borderId="0" xfId="27" applyFont="1" applyAlignment="1">
      <alignment horizontal="left"/>
    </xf>
    <xf numFmtId="0" fontId="3" fillId="0" borderId="0" xfId="27" applyFont="1"/>
    <xf numFmtId="0" fontId="3" fillId="0" borderId="0" xfId="27" applyFont="1" applyAlignment="1">
      <alignment horizontal="center"/>
    </xf>
    <xf numFmtId="1" fontId="3" fillId="0" borderId="0" xfId="27" applyNumberFormat="1" applyFont="1" applyAlignment="1">
      <alignment horizontal="center"/>
    </xf>
    <xf numFmtId="165" fontId="3" fillId="0" borderId="0" xfId="27" applyNumberFormat="1" applyFont="1" applyAlignment="1">
      <alignment horizontal="center"/>
    </xf>
    <xf numFmtId="0" fontId="6" fillId="0" borderId="0" xfId="27" applyFont="1"/>
    <xf numFmtId="1" fontId="4" fillId="2" borderId="3" xfId="27" applyNumberFormat="1" applyFont="1" applyFill="1" applyBorder="1" applyAlignment="1" applyProtection="1">
      <alignment horizontal="center"/>
    </xf>
    <xf numFmtId="2" fontId="3" fillId="0" borderId="0" xfId="27" applyNumberFormat="1" applyFont="1" applyAlignment="1">
      <alignment horizontal="center"/>
    </xf>
    <xf numFmtId="0" fontId="4" fillId="2" borderId="3" xfId="27" applyFont="1" applyFill="1" applyBorder="1" applyAlignment="1" applyProtection="1">
      <alignment horizontal="center"/>
    </xf>
    <xf numFmtId="165" fontId="4" fillId="2" borderId="3" xfId="27" applyNumberFormat="1" applyFont="1" applyFill="1" applyBorder="1" applyAlignment="1" applyProtection="1">
      <alignment horizontal="center"/>
    </xf>
    <xf numFmtId="0" fontId="3" fillId="3" borderId="3" xfId="27" applyFont="1" applyFill="1" applyBorder="1" applyAlignment="1" applyProtection="1">
      <alignment horizontal="center"/>
      <protection locked="0"/>
    </xf>
    <xf numFmtId="0" fontId="3" fillId="0" borderId="0" xfId="27" applyFont="1" applyFill="1" applyBorder="1" applyAlignment="1" applyProtection="1">
      <alignment horizontal="center"/>
      <protection locked="0"/>
    </xf>
    <xf numFmtId="0" fontId="3" fillId="0" borderId="0" xfId="27" applyFont="1" applyAlignment="1">
      <alignment wrapText="1"/>
    </xf>
    <xf numFmtId="0" fontId="3" fillId="0" borderId="0" xfId="27" applyFont="1" applyAlignment="1">
      <alignment horizontal="center" wrapText="1"/>
    </xf>
    <xf numFmtId="165" fontId="3" fillId="0" borderId="0" xfId="27" applyNumberFormat="1" applyFont="1" applyAlignment="1">
      <alignment horizontal="center" wrapText="1"/>
    </xf>
    <xf numFmtId="0" fontId="4" fillId="2" borderId="3" xfId="27" applyFont="1" applyFill="1" applyBorder="1" applyAlignment="1">
      <alignment horizontal="center"/>
    </xf>
    <xf numFmtId="165" fontId="4" fillId="2" borderId="3" xfId="27" applyNumberFormat="1" applyFont="1" applyFill="1" applyBorder="1" applyAlignment="1">
      <alignment horizontal="center"/>
    </xf>
    <xf numFmtId="0" fontId="6" fillId="0" borderId="0" xfId="27" applyFont="1" applyAlignment="1">
      <alignment horizontal="left"/>
    </xf>
    <xf numFmtId="0" fontId="4" fillId="4" borderId="4" xfId="27" applyFont="1" applyFill="1" applyBorder="1" applyAlignment="1">
      <alignment wrapText="1"/>
    </xf>
    <xf numFmtId="0" fontId="4" fillId="4" borderId="2" xfId="27" applyFont="1" applyFill="1" applyBorder="1" applyAlignment="1">
      <alignment horizontal="center" wrapText="1"/>
    </xf>
    <xf numFmtId="4" fontId="4" fillId="4" borderId="2" xfId="27" applyNumberFormat="1" applyFont="1" applyFill="1" applyBorder="1" applyAlignment="1">
      <alignment horizontal="center" wrapText="1"/>
    </xf>
    <xf numFmtId="165" fontId="4" fillId="4" borderId="2" xfId="27" applyNumberFormat="1" applyFont="1" applyFill="1" applyBorder="1" applyAlignment="1">
      <alignment horizontal="center" wrapText="1"/>
    </xf>
    <xf numFmtId="165" fontId="4" fillId="4" borderId="5" xfId="27" applyNumberFormat="1" applyFont="1" applyFill="1" applyBorder="1" applyAlignment="1">
      <alignment horizontal="center" wrapText="1"/>
    </xf>
    <xf numFmtId="0" fontId="3" fillId="5" borderId="4" xfId="27" applyFont="1" applyFill="1" applyBorder="1"/>
    <xf numFmtId="0" fontId="3" fillId="5" borderId="2" xfId="27" applyFont="1" applyFill="1" applyBorder="1" applyAlignment="1">
      <alignment horizontal="center"/>
    </xf>
    <xf numFmtId="4" fontId="3" fillId="5" borderId="2" xfId="27" applyNumberFormat="1" applyFont="1" applyFill="1" applyBorder="1" applyAlignment="1">
      <alignment horizontal="center"/>
    </xf>
    <xf numFmtId="165" fontId="3" fillId="5" borderId="2" xfId="27" applyNumberFormat="1" applyFont="1" applyFill="1" applyBorder="1" applyAlignment="1">
      <alignment horizontal="center"/>
    </xf>
    <xf numFmtId="165" fontId="3" fillId="5" borderId="5" xfId="27" applyNumberFormat="1" applyFont="1" applyFill="1" applyBorder="1" applyAlignment="1">
      <alignment horizontal="center"/>
    </xf>
    <xf numFmtId="0" fontId="3" fillId="0" borderId="6" xfId="27" applyFont="1" applyBorder="1"/>
    <xf numFmtId="0" fontId="3" fillId="0" borderId="7" xfId="27" applyFont="1" applyBorder="1" applyAlignment="1">
      <alignment horizontal="center"/>
    </xf>
    <xf numFmtId="4" fontId="3" fillId="3" borderId="8" xfId="27" applyNumberFormat="1" applyFont="1" applyFill="1" applyBorder="1" applyAlignment="1" applyProtection="1">
      <alignment horizontal="center"/>
      <protection locked="0"/>
    </xf>
    <xf numFmtId="4" fontId="3" fillId="0" borderId="8" xfId="27" applyNumberFormat="1" applyFont="1" applyBorder="1" applyAlignment="1">
      <alignment horizontal="center"/>
    </xf>
    <xf numFmtId="4" fontId="4" fillId="2" borderId="8" xfId="27" applyNumberFormat="1" applyFont="1" applyFill="1" applyBorder="1" applyAlignment="1" applyProtection="1">
      <alignment horizontal="center"/>
    </xf>
    <xf numFmtId="164" fontId="3" fillId="3" borderId="8" xfId="27" applyNumberFormat="1" applyFont="1" applyFill="1" applyBorder="1" applyAlignment="1" applyProtection="1">
      <alignment horizontal="center"/>
      <protection locked="0"/>
    </xf>
    <xf numFmtId="165" fontId="3" fillId="0" borderId="7" xfId="27" applyNumberFormat="1" applyFont="1" applyBorder="1" applyAlignment="1">
      <alignment horizontal="center"/>
    </xf>
    <xf numFmtId="165" fontId="4" fillId="2" borderId="6" xfId="27" applyNumberFormat="1" applyFont="1" applyFill="1" applyBorder="1" applyAlignment="1">
      <alignment horizontal="center"/>
    </xf>
    <xf numFmtId="165" fontId="4" fillId="2" borderId="8" xfId="27" applyNumberFormat="1" applyFont="1" applyFill="1" applyBorder="1" applyAlignment="1">
      <alignment horizontal="center"/>
    </xf>
    <xf numFmtId="0" fontId="3" fillId="0" borderId="9" xfId="27" applyFont="1" applyBorder="1"/>
    <xf numFmtId="0" fontId="3" fillId="0" borderId="0" xfId="27" applyFont="1" applyBorder="1" applyAlignment="1">
      <alignment horizontal="center"/>
    </xf>
    <xf numFmtId="4" fontId="3" fillId="3" borderId="10" xfId="27" applyNumberFormat="1" applyFont="1" applyFill="1" applyBorder="1" applyAlignment="1" applyProtection="1">
      <alignment horizontal="center"/>
      <protection locked="0"/>
    </xf>
    <xf numFmtId="4" fontId="3" fillId="0" borderId="10" xfId="27" applyNumberFormat="1" applyFont="1" applyBorder="1" applyAlignment="1">
      <alignment horizontal="center"/>
    </xf>
    <xf numFmtId="4" fontId="4" fillId="2" borderId="10" xfId="27" applyNumberFormat="1" applyFont="1" applyFill="1" applyBorder="1" applyAlignment="1" applyProtection="1">
      <alignment horizontal="center"/>
    </xf>
    <xf numFmtId="164" fontId="3" fillId="3" borderId="10" xfId="27" applyNumberFormat="1" applyFont="1" applyFill="1" applyBorder="1" applyAlignment="1" applyProtection="1">
      <alignment horizontal="center"/>
      <protection locked="0"/>
    </xf>
    <xf numFmtId="165" fontId="3" fillId="0" borderId="0" xfId="27" applyNumberFormat="1" applyFont="1" applyBorder="1" applyAlignment="1">
      <alignment horizontal="center"/>
    </xf>
    <xf numFmtId="165" fontId="4" fillId="2" borderId="9" xfId="27" applyNumberFormat="1" applyFont="1" applyFill="1" applyBorder="1" applyAlignment="1">
      <alignment horizontal="center"/>
    </xf>
    <xf numFmtId="165" fontId="4" fillId="2" borderId="10" xfId="27" applyNumberFormat="1" applyFont="1" applyFill="1" applyBorder="1" applyAlignment="1">
      <alignment horizontal="center"/>
    </xf>
    <xf numFmtId="0" fontId="3" fillId="0" borderId="11" xfId="27" applyFont="1" applyBorder="1"/>
    <xf numFmtId="0" fontId="3" fillId="0" borderId="12" xfId="27" applyFont="1" applyBorder="1" applyAlignment="1">
      <alignment horizontal="center"/>
    </xf>
    <xf numFmtId="4" fontId="3" fillId="3" borderId="13" xfId="27" applyNumberFormat="1" applyFont="1" applyFill="1" applyBorder="1" applyAlignment="1" applyProtection="1">
      <alignment horizontal="center"/>
      <protection locked="0"/>
    </xf>
    <xf numFmtId="4" fontId="3" fillId="0" borderId="13" xfId="27" applyNumberFormat="1" applyFont="1" applyBorder="1" applyAlignment="1">
      <alignment horizontal="center"/>
    </xf>
    <xf numFmtId="4" fontId="4" fillId="2" borderId="13" xfId="27" applyNumberFormat="1" applyFont="1" applyFill="1" applyBorder="1" applyAlignment="1" applyProtection="1">
      <alignment horizontal="center"/>
    </xf>
    <xf numFmtId="164" fontId="3" fillId="3" borderId="13" xfId="27" applyNumberFormat="1" applyFont="1" applyFill="1" applyBorder="1" applyAlignment="1" applyProtection="1">
      <alignment horizontal="center"/>
      <protection locked="0"/>
    </xf>
    <xf numFmtId="165" fontId="3" fillId="0" borderId="12" xfId="27" applyNumberFormat="1" applyFont="1" applyBorder="1" applyAlignment="1">
      <alignment horizontal="center"/>
    </xf>
    <xf numFmtId="165" fontId="4" fillId="2" borderId="11" xfId="27" applyNumberFormat="1" applyFont="1" applyFill="1" applyBorder="1" applyAlignment="1">
      <alignment horizontal="center"/>
    </xf>
    <xf numFmtId="165" fontId="4" fillId="2" borderId="13" xfId="27" applyNumberFormat="1" applyFont="1" applyFill="1" applyBorder="1" applyAlignment="1">
      <alignment horizontal="center"/>
    </xf>
    <xf numFmtId="0" fontId="4" fillId="2" borderId="4" xfId="27" applyFont="1" applyFill="1" applyBorder="1"/>
    <xf numFmtId="0" fontId="4" fillId="2" borderId="2" xfId="27" applyFont="1" applyFill="1" applyBorder="1" applyAlignment="1">
      <alignment horizontal="center"/>
    </xf>
    <xf numFmtId="4" fontId="4" fillId="2" borderId="2" xfId="27" applyNumberFormat="1" applyFont="1" applyFill="1" applyBorder="1" applyAlignment="1">
      <alignment horizontal="center"/>
    </xf>
    <xf numFmtId="164" fontId="4" fillId="2" borderId="2" xfId="27" applyNumberFormat="1" applyFont="1" applyFill="1" applyBorder="1" applyAlignment="1">
      <alignment horizontal="center"/>
    </xf>
    <xf numFmtId="165" fontId="4" fillId="2" borderId="2" xfId="27" applyNumberFormat="1" applyFont="1" applyFill="1" applyBorder="1" applyAlignment="1">
      <alignment horizontal="center"/>
    </xf>
    <xf numFmtId="165" fontId="4" fillId="2" borderId="5" xfId="27" applyNumberFormat="1" applyFont="1" applyFill="1" applyBorder="1" applyAlignment="1">
      <alignment horizontal="center"/>
    </xf>
    <xf numFmtId="164" fontId="3" fillId="5" borderId="2" xfId="27" applyNumberFormat="1" applyFont="1" applyFill="1" applyBorder="1" applyAlignment="1">
      <alignment horizontal="center"/>
    </xf>
    <xf numFmtId="4" fontId="4" fillId="2" borderId="8" xfId="11" applyNumberFormat="1" applyFont="1" applyFill="1" applyBorder="1" applyAlignment="1" applyProtection="1">
      <alignment horizontal="center"/>
    </xf>
    <xf numFmtId="4" fontId="4" fillId="2" borderId="10" xfId="11" applyNumberFormat="1" applyFont="1" applyFill="1" applyBorder="1" applyAlignment="1" applyProtection="1">
      <alignment horizontal="center"/>
    </xf>
    <xf numFmtId="4" fontId="4" fillId="2" borderId="13" xfId="11" applyNumberFormat="1" applyFont="1" applyFill="1" applyBorder="1" applyAlignment="1" applyProtection="1">
      <alignment horizontal="center"/>
    </xf>
    <xf numFmtId="4" fontId="3" fillId="5" borderId="7" xfId="27" applyNumberFormat="1" applyFont="1" applyFill="1" applyBorder="1" applyAlignment="1">
      <alignment horizontal="center"/>
    </xf>
    <xf numFmtId="189" fontId="3" fillId="3" borderId="6" xfId="27" applyNumberFormat="1" applyFont="1" applyFill="1" applyBorder="1" applyAlignment="1" applyProtection="1">
      <alignment horizontal="center"/>
      <protection locked="0"/>
    </xf>
    <xf numFmtId="164" fontId="3" fillId="3" borderId="14" xfId="27" applyNumberFormat="1" applyFont="1" applyFill="1" applyBorder="1" applyAlignment="1" applyProtection="1">
      <alignment horizontal="center"/>
      <protection locked="0"/>
    </xf>
    <xf numFmtId="0" fontId="3" fillId="0" borderId="9" xfId="27" applyFont="1" applyBorder="1" applyProtection="1">
      <protection locked="0"/>
    </xf>
    <xf numFmtId="189" fontId="3" fillId="3" borderId="9" xfId="27" applyNumberFormat="1" applyFont="1" applyFill="1" applyBorder="1" applyAlignment="1" applyProtection="1">
      <alignment horizontal="center"/>
      <protection locked="0"/>
    </xf>
    <xf numFmtId="164" fontId="3" fillId="3" borderId="15" xfId="27" applyNumberFormat="1" applyFont="1" applyFill="1" applyBorder="1" applyAlignment="1" applyProtection="1">
      <alignment horizontal="center"/>
      <protection locked="0"/>
    </xf>
    <xf numFmtId="0" fontId="3" fillId="0" borderId="11" xfId="27" applyFont="1" applyBorder="1" applyProtection="1">
      <protection locked="0"/>
    </xf>
    <xf numFmtId="189" fontId="3" fillId="3" borderId="11" xfId="27" applyNumberFormat="1" applyFont="1" applyFill="1" applyBorder="1" applyAlignment="1" applyProtection="1">
      <alignment horizontal="center"/>
      <protection locked="0"/>
    </xf>
    <xf numFmtId="164" fontId="3" fillId="3" borderId="16" xfId="27" applyNumberFormat="1" applyFont="1" applyFill="1" applyBorder="1" applyAlignment="1" applyProtection="1">
      <alignment horizontal="center"/>
      <protection locked="0"/>
    </xf>
    <xf numFmtId="4" fontId="4" fillId="2" borderId="12" xfId="27" applyNumberFormat="1" applyFont="1" applyFill="1" applyBorder="1" applyAlignment="1">
      <alignment horizontal="center"/>
    </xf>
    <xf numFmtId="176" fontId="3" fillId="3" borderId="10" xfId="27" applyNumberFormat="1" applyFont="1" applyFill="1" applyBorder="1" applyAlignment="1">
      <alignment horizontal="center"/>
    </xf>
    <xf numFmtId="189" fontId="4" fillId="2" borderId="10" xfId="27" applyNumberFormat="1" applyFont="1" applyFill="1" applyBorder="1" applyAlignment="1" applyProtection="1">
      <alignment horizontal="center"/>
    </xf>
    <xf numFmtId="176" fontId="3" fillId="3" borderId="13" xfId="27" applyNumberFormat="1" applyFont="1" applyFill="1" applyBorder="1" applyAlignment="1">
      <alignment horizontal="center"/>
    </xf>
    <xf numFmtId="189" fontId="4" fillId="2" borderId="13" xfId="27" applyNumberFormat="1" applyFont="1" applyFill="1" applyBorder="1" applyAlignment="1" applyProtection="1">
      <alignment horizontal="center"/>
    </xf>
    <xf numFmtId="0" fontId="3" fillId="3" borderId="8" xfId="27" applyFont="1" applyFill="1" applyBorder="1" applyAlignment="1" applyProtection="1">
      <alignment horizontal="center"/>
      <protection locked="0"/>
    </xf>
    <xf numFmtId="189" fontId="4" fillId="2" borderId="8" xfId="27" applyNumberFormat="1" applyFont="1" applyFill="1" applyBorder="1" applyAlignment="1" applyProtection="1">
      <alignment horizontal="center"/>
    </xf>
    <xf numFmtId="189" fontId="3" fillId="3" borderId="3" xfId="27" applyNumberFormat="1" applyFont="1" applyFill="1" applyBorder="1" applyAlignment="1" applyProtection="1">
      <alignment horizontal="center"/>
      <protection locked="0"/>
    </xf>
    <xf numFmtId="0" fontId="3" fillId="3" borderId="13" xfId="27" applyFont="1" applyFill="1" applyBorder="1" applyAlignment="1" applyProtection="1">
      <alignment horizontal="center"/>
      <protection locked="0"/>
    </xf>
    <xf numFmtId="4" fontId="3" fillId="3" borderId="8" xfId="11" applyNumberFormat="1" applyFont="1" applyFill="1" applyBorder="1" applyAlignment="1" applyProtection="1">
      <alignment horizontal="center"/>
      <protection locked="0"/>
    </xf>
    <xf numFmtId="164" fontId="3" fillId="3" borderId="3" xfId="27" applyNumberFormat="1" applyFont="1" applyFill="1" applyBorder="1" applyAlignment="1" applyProtection="1">
      <alignment horizontal="center"/>
      <protection locked="0"/>
    </xf>
    <xf numFmtId="4" fontId="3" fillId="3" borderId="13" xfId="11" applyNumberFormat="1" applyFont="1" applyFill="1" applyBorder="1" applyAlignment="1" applyProtection="1">
      <alignment horizontal="center"/>
      <protection locked="0"/>
    </xf>
    <xf numFmtId="0" fontId="4" fillId="4" borderId="4" xfId="27" applyFont="1" applyFill="1" applyBorder="1"/>
    <xf numFmtId="0" fontId="4" fillId="4" borderId="2" xfId="27" applyFont="1" applyFill="1" applyBorder="1" applyAlignment="1">
      <alignment horizontal="center"/>
    </xf>
    <xf numFmtId="4" fontId="4" fillId="4" borderId="2" xfId="27" applyNumberFormat="1" applyFont="1" applyFill="1" applyBorder="1" applyAlignment="1">
      <alignment horizontal="center"/>
    </xf>
    <xf numFmtId="165" fontId="4" fillId="4" borderId="2" xfId="27" applyNumberFormat="1" applyFont="1" applyFill="1" applyBorder="1" applyAlignment="1">
      <alignment horizontal="center"/>
    </xf>
    <xf numFmtId="167" fontId="4" fillId="4" borderId="5" xfId="27" applyNumberFormat="1" applyFont="1" applyFill="1" applyBorder="1" applyAlignment="1">
      <alignment horizontal="center"/>
    </xf>
    <xf numFmtId="165" fontId="4" fillId="4" borderId="5" xfId="27" applyNumberFormat="1" applyFont="1" applyFill="1" applyBorder="1" applyAlignment="1">
      <alignment horizontal="center"/>
    </xf>
    <xf numFmtId="4" fontId="3" fillId="0" borderId="7" xfId="27" applyNumberFormat="1" applyFont="1" applyBorder="1" applyAlignment="1">
      <alignment horizontal="center"/>
    </xf>
    <xf numFmtId="165" fontId="3" fillId="0" borderId="14" xfId="27" applyNumberFormat="1" applyFont="1" applyBorder="1" applyAlignment="1">
      <alignment horizontal="center"/>
    </xf>
    <xf numFmtId="4" fontId="3" fillId="0" borderId="0" xfId="27" applyNumberFormat="1" applyFont="1" applyBorder="1" applyAlignment="1">
      <alignment horizontal="center"/>
    </xf>
    <xf numFmtId="165" fontId="3" fillId="0" borderId="15" xfId="27" applyNumberFormat="1" applyFont="1" applyBorder="1" applyAlignment="1">
      <alignment horizontal="center"/>
    </xf>
    <xf numFmtId="4" fontId="3" fillId="0" borderId="12" xfId="27" applyNumberFormat="1" applyFont="1" applyBorder="1" applyAlignment="1">
      <alignment horizontal="center"/>
    </xf>
    <xf numFmtId="165" fontId="3" fillId="0" borderId="16" xfId="27" applyNumberFormat="1" applyFont="1" applyBorder="1" applyAlignment="1">
      <alignment horizontal="center"/>
    </xf>
    <xf numFmtId="4" fontId="3" fillId="5" borderId="2" xfId="27" applyNumberFormat="1" applyFont="1" applyFill="1" applyBorder="1" applyAlignment="1" applyProtection="1">
      <alignment horizontal="center"/>
      <protection locked="0"/>
    </xf>
    <xf numFmtId="4" fontId="3" fillId="3" borderId="6" xfId="27" applyNumberFormat="1" applyFont="1" applyFill="1" applyBorder="1" applyAlignment="1">
      <alignment horizontal="center"/>
    </xf>
    <xf numFmtId="4" fontId="3" fillId="3" borderId="8" xfId="27" applyNumberFormat="1" applyFont="1" applyFill="1" applyBorder="1" applyAlignment="1">
      <alignment horizontal="center"/>
    </xf>
    <xf numFmtId="4" fontId="4" fillId="2" borderId="8" xfId="27" applyNumberFormat="1" applyFont="1" applyFill="1" applyBorder="1" applyAlignment="1">
      <alignment horizontal="center"/>
    </xf>
    <xf numFmtId="4" fontId="4" fillId="2" borderId="14" xfId="27" applyNumberFormat="1" applyFont="1" applyFill="1" applyBorder="1" applyAlignment="1">
      <alignment horizontal="center"/>
    </xf>
    <xf numFmtId="165" fontId="4" fillId="2" borderId="14" xfId="27" applyNumberFormat="1" applyFont="1" applyFill="1" applyBorder="1" applyAlignment="1">
      <alignment horizontal="center"/>
    </xf>
    <xf numFmtId="4" fontId="3" fillId="3" borderId="9" xfId="27" applyNumberFormat="1" applyFont="1" applyFill="1" applyBorder="1" applyAlignment="1">
      <alignment horizontal="center"/>
    </xf>
    <xf numFmtId="4" fontId="3" fillId="3" borderId="10" xfId="27" applyNumberFormat="1" applyFont="1" applyFill="1" applyBorder="1" applyAlignment="1">
      <alignment horizontal="center"/>
    </xf>
    <xf numFmtId="4" fontId="4" fillId="2" borderId="10" xfId="27" applyNumberFormat="1" applyFont="1" applyFill="1" applyBorder="1" applyAlignment="1">
      <alignment horizontal="center"/>
    </xf>
    <xf numFmtId="4" fontId="4" fillId="2" borderId="15" xfId="27" applyNumberFormat="1" applyFont="1" applyFill="1" applyBorder="1" applyAlignment="1">
      <alignment horizontal="center"/>
    </xf>
    <xf numFmtId="165" fontId="4" fillId="2" borderId="15" xfId="27" applyNumberFormat="1" applyFont="1" applyFill="1" applyBorder="1" applyAlignment="1">
      <alignment horizontal="center"/>
    </xf>
    <xf numFmtId="4" fontId="3" fillId="3" borderId="11" xfId="27" applyNumberFormat="1" applyFont="1" applyFill="1" applyBorder="1" applyAlignment="1">
      <alignment horizontal="center"/>
    </xf>
    <xf numFmtId="4" fontId="3" fillId="3" borderId="13" xfId="27" applyNumberFormat="1" applyFont="1" applyFill="1" applyBorder="1" applyAlignment="1">
      <alignment horizontal="center"/>
    </xf>
    <xf numFmtId="4" fontId="4" fillId="2" borderId="13" xfId="27" applyNumberFormat="1" applyFont="1" applyFill="1" applyBorder="1" applyAlignment="1">
      <alignment horizontal="center"/>
    </xf>
    <xf numFmtId="4" fontId="4" fillId="2" borderId="16" xfId="27" applyNumberFormat="1" applyFont="1" applyFill="1" applyBorder="1" applyAlignment="1">
      <alignment horizontal="center"/>
    </xf>
    <xf numFmtId="187" fontId="3" fillId="3" borderId="8" xfId="27" applyNumberFormat="1" applyFont="1" applyFill="1" applyBorder="1" applyAlignment="1" applyProtection="1">
      <alignment horizontal="center"/>
      <protection locked="0"/>
    </xf>
    <xf numFmtId="187" fontId="3" fillId="3" borderId="10" xfId="27" applyNumberFormat="1" applyFont="1" applyFill="1" applyBorder="1" applyAlignment="1" applyProtection="1">
      <alignment horizontal="center"/>
      <protection locked="0"/>
    </xf>
    <xf numFmtId="187" fontId="3" fillId="3" borderId="13" xfId="27" applyNumberFormat="1" applyFont="1" applyFill="1" applyBorder="1" applyAlignment="1" applyProtection="1">
      <alignment horizontal="center"/>
      <protection locked="0"/>
    </xf>
    <xf numFmtId="10" fontId="3" fillId="3" borderId="3" xfId="27" applyNumberFormat="1" applyFont="1" applyFill="1" applyBorder="1" applyAlignment="1" applyProtection="1">
      <alignment horizontal="center"/>
      <protection locked="0"/>
    </xf>
    <xf numFmtId="165" fontId="4" fillId="2" borderId="16" xfId="27" applyNumberFormat="1" applyFont="1" applyFill="1" applyBorder="1" applyAlignment="1">
      <alignment horizontal="center"/>
    </xf>
    <xf numFmtId="0" fontId="3" fillId="5" borderId="4" xfId="27" applyFont="1" applyFill="1" applyBorder="1" applyAlignment="1">
      <alignment wrapText="1"/>
    </xf>
    <xf numFmtId="0" fontId="3" fillId="5" borderId="2" xfId="27" applyFont="1" applyFill="1" applyBorder="1" applyAlignment="1">
      <alignment horizontal="center" wrapText="1"/>
    </xf>
    <xf numFmtId="4" fontId="3" fillId="5" borderId="2" xfId="27" applyNumberFormat="1" applyFont="1" applyFill="1" applyBorder="1" applyAlignment="1">
      <alignment horizontal="center" wrapText="1"/>
    </xf>
    <xf numFmtId="165" fontId="3" fillId="5" borderId="2" xfId="27" applyNumberFormat="1" applyFont="1" applyFill="1" applyBorder="1" applyAlignment="1">
      <alignment horizontal="center" wrapText="1"/>
    </xf>
    <xf numFmtId="165" fontId="3" fillId="5" borderId="5" xfId="27" applyNumberFormat="1" applyFont="1" applyFill="1" applyBorder="1" applyAlignment="1">
      <alignment horizontal="center" wrapText="1"/>
    </xf>
    <xf numFmtId="0" fontId="4" fillId="4" borderId="11" xfId="27" applyFont="1" applyFill="1" applyBorder="1"/>
    <xf numFmtId="0" fontId="4" fillId="4" borderId="12" xfId="27" applyFont="1" applyFill="1" applyBorder="1" applyAlignment="1">
      <alignment horizontal="center"/>
    </xf>
    <xf numFmtId="4" fontId="4" fillId="4" borderId="12" xfId="27" applyNumberFormat="1" applyFont="1" applyFill="1" applyBorder="1" applyAlignment="1">
      <alignment horizontal="center"/>
    </xf>
    <xf numFmtId="165" fontId="4" fillId="4" borderId="12" xfId="27" applyNumberFormat="1" applyFont="1" applyFill="1" applyBorder="1" applyAlignment="1">
      <alignment horizontal="center"/>
    </xf>
    <xf numFmtId="165" fontId="4" fillId="4" borderId="16" xfId="27" applyNumberFormat="1" applyFont="1" applyFill="1" applyBorder="1" applyAlignment="1">
      <alignment horizontal="center"/>
    </xf>
    <xf numFmtId="4" fontId="3" fillId="0" borderId="0" xfId="27" applyNumberFormat="1" applyFont="1" applyAlignment="1">
      <alignment horizontal="center"/>
    </xf>
    <xf numFmtId="4" fontId="4" fillId="2" borderId="6" xfId="27" applyNumberFormat="1" applyFont="1" applyFill="1" applyBorder="1" applyAlignment="1">
      <alignment horizontal="center"/>
    </xf>
    <xf numFmtId="4" fontId="4" fillId="2" borderId="9" xfId="27" applyNumberFormat="1" applyFont="1" applyFill="1" applyBorder="1" applyAlignment="1">
      <alignment horizontal="center"/>
    </xf>
    <xf numFmtId="4" fontId="4" fillId="2" borderId="11" xfId="27" applyNumberFormat="1" applyFont="1" applyFill="1" applyBorder="1" applyAlignment="1">
      <alignment horizontal="center"/>
    </xf>
    <xf numFmtId="4" fontId="4" fillId="4" borderId="7" xfId="27" applyNumberFormat="1" applyFont="1" applyFill="1" applyBorder="1" applyAlignment="1">
      <alignment horizontal="center" wrapText="1"/>
    </xf>
    <xf numFmtId="0" fontId="2" fillId="0" borderId="0" xfId="0" applyFont="1" applyAlignment="1">
      <alignment horizontal="left"/>
    </xf>
    <xf numFmtId="0" fontId="3" fillId="0" borderId="0" xfId="0" applyFont="1" applyAlignment="1">
      <alignment horizontal="center"/>
    </xf>
    <xf numFmtId="1" fontId="3" fillId="0" borderId="0" xfId="0" applyNumberFormat="1" applyFont="1" applyAlignment="1">
      <alignment horizontal="center"/>
    </xf>
    <xf numFmtId="165" fontId="3" fillId="0" borderId="0" xfId="0" applyNumberFormat="1" applyFont="1" applyAlignment="1">
      <alignment horizontal="center"/>
    </xf>
    <xf numFmtId="1" fontId="4" fillId="2" borderId="3" xfId="0" applyNumberFormat="1" applyFont="1" applyFill="1" applyBorder="1" applyAlignment="1" applyProtection="1">
      <alignment horizontal="center"/>
    </xf>
    <xf numFmtId="2" fontId="3" fillId="0" borderId="0" xfId="0" applyNumberFormat="1" applyFont="1" applyAlignment="1">
      <alignment horizontal="center"/>
    </xf>
    <xf numFmtId="0" fontId="4" fillId="2" borderId="3" xfId="0" applyFont="1" applyFill="1" applyBorder="1" applyAlignment="1" applyProtection="1">
      <alignment horizontal="center"/>
    </xf>
    <xf numFmtId="0" fontId="3" fillId="0" borderId="0" xfId="0" applyFont="1" applyFill="1" applyBorder="1" applyAlignment="1" applyProtection="1">
      <alignment horizontal="center"/>
      <protection locked="0"/>
    </xf>
    <xf numFmtId="0" fontId="3" fillId="0" borderId="0" xfId="0" applyFont="1" applyAlignment="1">
      <alignment horizontal="center" wrapText="1"/>
    </xf>
    <xf numFmtId="165" fontId="3" fillId="0" borderId="0" xfId="0" applyNumberFormat="1" applyFont="1" applyAlignment="1">
      <alignment horizontal="center" wrapText="1"/>
    </xf>
    <xf numFmtId="0" fontId="4" fillId="2" borderId="3" xfId="0" applyFont="1" applyFill="1" applyBorder="1" applyAlignment="1">
      <alignment horizontal="center"/>
    </xf>
    <xf numFmtId="0" fontId="6" fillId="0" borderId="0" xfId="0" applyFont="1" applyAlignment="1">
      <alignment horizontal="left"/>
    </xf>
    <xf numFmtId="4" fontId="4" fillId="4" borderId="2" xfId="0" applyNumberFormat="1" applyFont="1" applyFill="1" applyBorder="1" applyAlignment="1">
      <alignment horizontal="center" wrapText="1"/>
    </xf>
    <xf numFmtId="165" fontId="4" fillId="4" borderId="2" xfId="0" applyNumberFormat="1" applyFont="1" applyFill="1" applyBorder="1" applyAlignment="1">
      <alignment horizontal="center" wrapText="1"/>
    </xf>
    <xf numFmtId="165" fontId="4" fillId="4" borderId="5" xfId="0" applyNumberFormat="1" applyFont="1" applyFill="1" applyBorder="1" applyAlignment="1">
      <alignment horizontal="center" wrapText="1"/>
    </xf>
    <xf numFmtId="0" fontId="3" fillId="5" borderId="4" xfId="0" applyFont="1" applyFill="1" applyBorder="1"/>
    <xf numFmtId="0" fontId="3" fillId="5" borderId="2" xfId="0" applyFont="1" applyFill="1" applyBorder="1" applyAlignment="1">
      <alignment horizontal="center"/>
    </xf>
    <xf numFmtId="4" fontId="3" fillId="5" borderId="2" xfId="0" applyNumberFormat="1" applyFont="1" applyFill="1" applyBorder="1" applyAlignment="1">
      <alignment horizontal="center"/>
    </xf>
    <xf numFmtId="165" fontId="3" fillId="5" borderId="2" xfId="0" applyNumberFormat="1" applyFont="1" applyFill="1" applyBorder="1" applyAlignment="1">
      <alignment horizontal="center"/>
    </xf>
    <xf numFmtId="165" fontId="3" fillId="5" borderId="5" xfId="0" applyNumberFormat="1" applyFont="1" applyFill="1" applyBorder="1" applyAlignment="1">
      <alignment horizontal="center"/>
    </xf>
    <xf numFmtId="0" fontId="3" fillId="0" borderId="6" xfId="0" applyFont="1" applyBorder="1"/>
    <xf numFmtId="0" fontId="3" fillId="0" borderId="7" xfId="0" applyFont="1" applyBorder="1" applyAlignment="1">
      <alignment horizontal="center"/>
    </xf>
    <xf numFmtId="4" fontId="3" fillId="3" borderId="8" xfId="0" applyNumberFormat="1" applyFont="1" applyFill="1" applyBorder="1" applyAlignment="1" applyProtection="1">
      <alignment horizontal="center"/>
      <protection locked="0"/>
    </xf>
    <xf numFmtId="4" fontId="3" fillId="0" borderId="8" xfId="0" applyNumberFormat="1" applyFont="1" applyBorder="1" applyAlignment="1">
      <alignment horizontal="center"/>
    </xf>
    <xf numFmtId="4" fontId="4" fillId="2" borderId="8" xfId="0" applyNumberFormat="1" applyFont="1" applyFill="1" applyBorder="1" applyAlignment="1" applyProtection="1">
      <alignment horizontal="center"/>
    </xf>
    <xf numFmtId="164" fontId="4" fillId="2" borderId="8" xfId="0" applyNumberFormat="1" applyFont="1" applyFill="1" applyBorder="1" applyAlignment="1" applyProtection="1">
      <alignment horizontal="center"/>
    </xf>
    <xf numFmtId="165" fontId="3" fillId="0" borderId="7" xfId="0" applyNumberFormat="1" applyFont="1" applyBorder="1" applyAlignment="1">
      <alignment horizontal="center"/>
    </xf>
    <xf numFmtId="165" fontId="4" fillId="2" borderId="6" xfId="0" applyNumberFormat="1" applyFont="1" applyFill="1" applyBorder="1" applyAlignment="1">
      <alignment horizontal="center"/>
    </xf>
    <xf numFmtId="165" fontId="4" fillId="2" borderId="8" xfId="0" applyNumberFormat="1" applyFont="1" applyFill="1" applyBorder="1" applyAlignment="1">
      <alignment horizontal="center"/>
    </xf>
    <xf numFmtId="0" fontId="3" fillId="0" borderId="9" xfId="0" applyFont="1" applyBorder="1"/>
    <xf numFmtId="0" fontId="3" fillId="0" borderId="0" xfId="0" applyFont="1" applyBorder="1" applyAlignment="1">
      <alignment horizontal="center"/>
    </xf>
    <xf numFmtId="4" fontId="3" fillId="3" borderId="10" xfId="0" applyNumberFormat="1" applyFont="1" applyFill="1" applyBorder="1" applyAlignment="1" applyProtection="1">
      <alignment horizontal="center"/>
      <protection locked="0"/>
    </xf>
    <xf numFmtId="4" fontId="3" fillId="0" borderId="10" xfId="0" applyNumberFormat="1" applyFont="1" applyBorder="1" applyAlignment="1">
      <alignment horizontal="center"/>
    </xf>
    <xf numFmtId="4" fontId="4" fillId="2" borderId="10" xfId="0" applyNumberFormat="1" applyFont="1" applyFill="1" applyBorder="1" applyAlignment="1" applyProtection="1">
      <alignment horizontal="center"/>
    </xf>
    <xf numFmtId="164" fontId="4" fillId="2" borderId="10" xfId="0" applyNumberFormat="1" applyFont="1" applyFill="1" applyBorder="1" applyAlignment="1" applyProtection="1">
      <alignment horizontal="center"/>
    </xf>
    <xf numFmtId="165" fontId="3" fillId="0" borderId="0" xfId="0" applyNumberFormat="1" applyFont="1" applyBorder="1" applyAlignment="1">
      <alignment horizontal="center"/>
    </xf>
    <xf numFmtId="165" fontId="4" fillId="2" borderId="9" xfId="0" applyNumberFormat="1" applyFont="1" applyFill="1" applyBorder="1" applyAlignment="1">
      <alignment horizontal="center"/>
    </xf>
    <xf numFmtId="165" fontId="4" fillId="2" borderId="10" xfId="0" applyNumberFormat="1" applyFont="1" applyFill="1" applyBorder="1" applyAlignment="1">
      <alignment horizontal="center"/>
    </xf>
    <xf numFmtId="0" fontId="3" fillId="0" borderId="11" xfId="0" applyFont="1" applyBorder="1"/>
    <xf numFmtId="0" fontId="3" fillId="0" borderId="12" xfId="0" applyFont="1" applyBorder="1" applyAlignment="1">
      <alignment horizontal="center"/>
    </xf>
    <xf numFmtId="4" fontId="3" fillId="3" borderId="13" xfId="0" applyNumberFormat="1" applyFont="1" applyFill="1" applyBorder="1" applyAlignment="1" applyProtection="1">
      <alignment horizontal="center"/>
      <protection locked="0"/>
    </xf>
    <xf numFmtId="4" fontId="3" fillId="0" borderId="13" xfId="0" applyNumberFormat="1" applyFont="1" applyBorder="1" applyAlignment="1">
      <alignment horizontal="center"/>
    </xf>
    <xf numFmtId="4" fontId="4" fillId="2" borderId="13" xfId="0" applyNumberFormat="1" applyFont="1" applyFill="1" applyBorder="1" applyAlignment="1" applyProtection="1">
      <alignment horizontal="center"/>
    </xf>
    <xf numFmtId="164" fontId="4" fillId="2" borderId="13" xfId="0" applyNumberFormat="1" applyFont="1" applyFill="1" applyBorder="1" applyAlignment="1" applyProtection="1">
      <alignment horizontal="center"/>
    </xf>
    <xf numFmtId="165" fontId="3" fillId="0" borderId="12" xfId="0" applyNumberFormat="1" applyFont="1" applyBorder="1" applyAlignment="1">
      <alignment horizontal="center"/>
    </xf>
    <xf numFmtId="165" fontId="4" fillId="2" borderId="11" xfId="0" applyNumberFormat="1" applyFont="1" applyFill="1" applyBorder="1" applyAlignment="1">
      <alignment horizontal="center"/>
    </xf>
    <xf numFmtId="165" fontId="4" fillId="2" borderId="13" xfId="0" applyNumberFormat="1" applyFont="1" applyFill="1" applyBorder="1" applyAlignment="1">
      <alignment horizontal="center"/>
    </xf>
    <xf numFmtId="0" fontId="4" fillId="2" borderId="2" xfId="0" applyFont="1" applyFill="1" applyBorder="1" applyAlignment="1">
      <alignment horizontal="center"/>
    </xf>
    <xf numFmtId="4" fontId="4" fillId="2" borderId="2" xfId="0" applyNumberFormat="1" applyFont="1" applyFill="1" applyBorder="1" applyAlignment="1">
      <alignment horizontal="center"/>
    </xf>
    <xf numFmtId="164" fontId="4" fillId="2" borderId="2" xfId="0" applyNumberFormat="1" applyFont="1" applyFill="1" applyBorder="1" applyAlignment="1">
      <alignment horizontal="center"/>
    </xf>
    <xf numFmtId="165" fontId="4" fillId="2" borderId="5" xfId="0" applyNumberFormat="1" applyFont="1" applyFill="1" applyBorder="1" applyAlignment="1">
      <alignment horizontal="center"/>
    </xf>
    <xf numFmtId="164" fontId="3" fillId="5" borderId="2" xfId="0" applyNumberFormat="1" applyFont="1" applyFill="1" applyBorder="1" applyAlignment="1">
      <alignment horizontal="center"/>
    </xf>
    <xf numFmtId="4" fontId="4" fillId="2" borderId="8" xfId="9" applyNumberFormat="1" applyFont="1" applyFill="1" applyBorder="1" applyAlignment="1" applyProtection="1">
      <alignment horizontal="center"/>
    </xf>
    <xf numFmtId="4" fontId="4" fillId="2" borderId="10" xfId="9" applyNumberFormat="1" applyFont="1" applyFill="1" applyBorder="1" applyAlignment="1" applyProtection="1">
      <alignment horizontal="center"/>
    </xf>
    <xf numFmtId="4" fontId="4" fillId="2" borderId="13" xfId="9" applyNumberFormat="1" applyFont="1" applyFill="1" applyBorder="1" applyAlignment="1" applyProtection="1">
      <alignment horizontal="center"/>
    </xf>
    <xf numFmtId="164" fontId="3" fillId="5" borderId="7" xfId="0" applyNumberFormat="1" applyFont="1" applyFill="1" applyBorder="1" applyAlignment="1">
      <alignment horizontal="center"/>
    </xf>
    <xf numFmtId="164" fontId="4" fillId="2" borderId="12" xfId="0" applyNumberFormat="1" applyFont="1" applyFill="1" applyBorder="1" applyAlignment="1">
      <alignment horizontal="center"/>
    </xf>
    <xf numFmtId="189" fontId="3" fillId="3" borderId="8" xfId="0" applyNumberFormat="1" applyFont="1" applyFill="1" applyBorder="1" applyAlignment="1" applyProtection="1">
      <alignment horizontal="center"/>
      <protection locked="0"/>
    </xf>
    <xf numFmtId="0" fontId="3" fillId="0" borderId="9" xfId="0" applyFont="1" applyBorder="1" applyProtection="1">
      <protection locked="0"/>
    </xf>
    <xf numFmtId="189" fontId="3" fillId="3" borderId="10" xfId="0" applyNumberFormat="1" applyFont="1" applyFill="1" applyBorder="1" applyAlignment="1" applyProtection="1">
      <alignment horizontal="center"/>
      <protection locked="0"/>
    </xf>
    <xf numFmtId="0" fontId="3" fillId="0" borderId="11" xfId="0" applyFont="1" applyBorder="1" applyProtection="1">
      <protection locked="0"/>
    </xf>
    <xf numFmtId="189" fontId="3" fillId="3" borderId="13" xfId="0" applyNumberFormat="1" applyFont="1" applyFill="1" applyBorder="1" applyAlignment="1" applyProtection="1">
      <alignment horizontal="center"/>
      <protection locked="0"/>
    </xf>
    <xf numFmtId="176" fontId="3" fillId="0" borderId="0" xfId="0" applyNumberFormat="1" applyFont="1" applyFill="1" applyBorder="1" applyAlignment="1">
      <alignment horizontal="center"/>
    </xf>
    <xf numFmtId="189" fontId="4" fillId="2" borderId="10" xfId="0" applyNumberFormat="1" applyFont="1" applyFill="1" applyBorder="1" applyAlignment="1" applyProtection="1">
      <alignment horizontal="center"/>
    </xf>
    <xf numFmtId="0" fontId="3" fillId="0" borderId="14" xfId="0" applyFont="1" applyFill="1" applyBorder="1" applyAlignment="1" applyProtection="1">
      <alignment horizontal="center"/>
      <protection locked="0"/>
    </xf>
    <xf numFmtId="4" fontId="3" fillId="3" borderId="14" xfId="0" applyNumberFormat="1" applyFont="1" applyFill="1" applyBorder="1" applyAlignment="1" applyProtection="1">
      <alignment horizontal="center"/>
      <protection locked="0"/>
    </xf>
    <xf numFmtId="0" fontId="4" fillId="0" borderId="15" xfId="0" applyFont="1" applyFill="1" applyBorder="1" applyAlignment="1" applyProtection="1">
      <alignment horizontal="center"/>
    </xf>
    <xf numFmtId="4" fontId="3" fillId="3" borderId="15" xfId="0" applyNumberFormat="1" applyFont="1" applyFill="1" applyBorder="1" applyAlignment="1" applyProtection="1">
      <alignment horizontal="center"/>
      <protection locked="0"/>
    </xf>
    <xf numFmtId="0" fontId="3" fillId="0" borderId="16" xfId="0" applyFont="1" applyFill="1" applyBorder="1" applyAlignment="1" applyProtection="1">
      <alignment horizontal="center"/>
      <protection locked="0"/>
    </xf>
    <xf numFmtId="4" fontId="3" fillId="3" borderId="16" xfId="0" applyNumberFormat="1" applyFont="1" applyFill="1" applyBorder="1" applyAlignment="1" applyProtection="1">
      <alignment horizontal="center"/>
      <protection locked="0"/>
    </xf>
    <xf numFmtId="0" fontId="4" fillId="4" borderId="4" xfId="0" applyFont="1" applyFill="1" applyBorder="1"/>
    <xf numFmtId="0" fontId="4" fillId="4" borderId="2" xfId="0" applyFont="1" applyFill="1" applyBorder="1" applyAlignment="1">
      <alignment horizontal="center"/>
    </xf>
    <xf numFmtId="4" fontId="4" fillId="4" borderId="2" xfId="0" applyNumberFormat="1" applyFont="1" applyFill="1" applyBorder="1" applyAlignment="1">
      <alignment horizontal="center"/>
    </xf>
    <xf numFmtId="4" fontId="4" fillId="4" borderId="12" xfId="0" applyNumberFormat="1" applyFont="1" applyFill="1" applyBorder="1" applyAlignment="1">
      <alignment horizontal="center"/>
    </xf>
    <xf numFmtId="165" fontId="4" fillId="4" borderId="2" xfId="0" applyNumberFormat="1" applyFont="1" applyFill="1" applyBorder="1" applyAlignment="1">
      <alignment horizontal="center"/>
    </xf>
    <xf numFmtId="167" fontId="4" fillId="4" borderId="5" xfId="0" applyNumberFormat="1" applyFont="1" applyFill="1" applyBorder="1" applyAlignment="1">
      <alignment horizontal="center"/>
    </xf>
    <xf numFmtId="165" fontId="4" fillId="4" borderId="5" xfId="0" applyNumberFormat="1" applyFont="1" applyFill="1" applyBorder="1" applyAlignment="1">
      <alignment horizontal="center"/>
    </xf>
    <xf numFmtId="4" fontId="3" fillId="0" borderId="7" xfId="0" applyNumberFormat="1" applyFont="1" applyBorder="1" applyAlignment="1">
      <alignment horizontal="center"/>
    </xf>
    <xf numFmtId="165" fontId="3" fillId="0" borderId="14" xfId="0" applyNumberFormat="1" applyFont="1" applyBorder="1" applyAlignment="1">
      <alignment horizontal="center"/>
    </xf>
    <xf numFmtId="4" fontId="3" fillId="0" borderId="0" xfId="0" applyNumberFormat="1" applyFont="1" applyBorder="1" applyAlignment="1">
      <alignment horizontal="center"/>
    </xf>
    <xf numFmtId="165" fontId="3" fillId="0" borderId="15" xfId="0" applyNumberFormat="1" applyFont="1" applyBorder="1" applyAlignment="1">
      <alignment horizontal="center"/>
    </xf>
    <xf numFmtId="4" fontId="3" fillId="0" borderId="12" xfId="0" applyNumberFormat="1" applyFont="1" applyBorder="1" applyAlignment="1">
      <alignment horizontal="center"/>
    </xf>
    <xf numFmtId="165" fontId="3" fillId="0" borderId="16" xfId="0" applyNumberFormat="1" applyFont="1" applyBorder="1" applyAlignment="1">
      <alignment horizontal="center"/>
    </xf>
    <xf numFmtId="4" fontId="3" fillId="5" borderId="2" xfId="0" applyNumberFormat="1" applyFont="1" applyFill="1" applyBorder="1" applyAlignment="1" applyProtection="1">
      <alignment horizontal="center"/>
      <protection locked="0"/>
    </xf>
    <xf numFmtId="4" fontId="3" fillId="3" borderId="6" xfId="0" applyNumberFormat="1" applyFont="1" applyFill="1" applyBorder="1" applyAlignment="1">
      <alignment horizontal="center"/>
    </xf>
    <xf numFmtId="4" fontId="3" fillId="3" borderId="8" xfId="0" applyNumberFormat="1" applyFont="1" applyFill="1" applyBorder="1" applyAlignment="1">
      <alignment horizontal="center"/>
    </xf>
    <xf numFmtId="4" fontId="4" fillId="2" borderId="8" xfId="0" applyNumberFormat="1" applyFont="1" applyFill="1" applyBorder="1" applyAlignment="1">
      <alignment horizontal="center"/>
    </xf>
    <xf numFmtId="4" fontId="4" fillId="2" borderId="14" xfId="0" applyNumberFormat="1" applyFont="1" applyFill="1" applyBorder="1" applyAlignment="1">
      <alignment horizontal="center"/>
    </xf>
    <xf numFmtId="165" fontId="4" fillId="2" borderId="14" xfId="0" applyNumberFormat="1" applyFont="1" applyFill="1" applyBorder="1" applyAlignment="1">
      <alignment horizontal="center"/>
    </xf>
    <xf numFmtId="4" fontId="3" fillId="3" borderId="9" xfId="0" applyNumberFormat="1" applyFont="1" applyFill="1" applyBorder="1" applyAlignment="1">
      <alignment horizontal="center"/>
    </xf>
    <xf numFmtId="4" fontId="3" fillId="3" borderId="10" xfId="0" applyNumberFormat="1" applyFont="1" applyFill="1" applyBorder="1" applyAlignment="1">
      <alignment horizontal="center"/>
    </xf>
    <xf numFmtId="4" fontId="4" fillId="2" borderId="10" xfId="0" applyNumberFormat="1" applyFont="1" applyFill="1" applyBorder="1" applyAlignment="1">
      <alignment horizontal="center"/>
    </xf>
    <xf numFmtId="4" fontId="4" fillId="2" borderId="15" xfId="0" applyNumberFormat="1" applyFont="1" applyFill="1" applyBorder="1" applyAlignment="1">
      <alignment horizontal="center"/>
    </xf>
    <xf numFmtId="165" fontId="4" fillId="2" borderId="10" xfId="0" applyNumberFormat="1" applyFont="1" applyFill="1" applyBorder="1" applyAlignment="1" applyProtection="1">
      <alignment horizontal="center"/>
    </xf>
    <xf numFmtId="165" fontId="4" fillId="2" borderId="15" xfId="0" applyNumberFormat="1" applyFont="1" applyFill="1" applyBorder="1" applyAlignment="1">
      <alignment horizontal="center"/>
    </xf>
    <xf numFmtId="4" fontId="3" fillId="3" borderId="11" xfId="0" applyNumberFormat="1" applyFont="1" applyFill="1" applyBorder="1" applyAlignment="1">
      <alignment horizontal="center"/>
    </xf>
    <xf numFmtId="4" fontId="3" fillId="3" borderId="13" xfId="0" applyNumberFormat="1" applyFont="1" applyFill="1" applyBorder="1" applyAlignment="1">
      <alignment horizontal="center"/>
    </xf>
    <xf numFmtId="4" fontId="4" fillId="2" borderId="13" xfId="0" applyNumberFormat="1" applyFont="1" applyFill="1" applyBorder="1" applyAlignment="1">
      <alignment horizontal="center"/>
    </xf>
    <xf numFmtId="4" fontId="4" fillId="2" borderId="16" xfId="0" applyNumberFormat="1" applyFont="1" applyFill="1" applyBorder="1" applyAlignment="1">
      <alignment horizontal="center"/>
    </xf>
    <xf numFmtId="165" fontId="4" fillId="2" borderId="16" xfId="0" applyNumberFormat="1" applyFont="1" applyFill="1" applyBorder="1" applyAlignment="1">
      <alignment horizontal="center"/>
    </xf>
    <xf numFmtId="0" fontId="3" fillId="5" borderId="4" xfId="0" applyFont="1" applyFill="1" applyBorder="1" applyAlignment="1">
      <alignment wrapText="1"/>
    </xf>
    <xf numFmtId="0" fontId="3" fillId="5" borderId="2" xfId="0" applyFont="1" applyFill="1" applyBorder="1" applyAlignment="1">
      <alignment horizontal="center" wrapText="1"/>
    </xf>
    <xf numFmtId="4" fontId="3" fillId="5" borderId="2" xfId="0" applyNumberFormat="1" applyFont="1" applyFill="1" applyBorder="1" applyAlignment="1">
      <alignment horizontal="center" wrapText="1"/>
    </xf>
    <xf numFmtId="165" fontId="3" fillId="5" borderId="2" xfId="0" applyNumberFormat="1" applyFont="1" applyFill="1" applyBorder="1" applyAlignment="1">
      <alignment horizontal="center" wrapText="1"/>
    </xf>
    <xf numFmtId="165" fontId="3" fillId="5" borderId="5" xfId="0" applyNumberFormat="1" applyFont="1" applyFill="1" applyBorder="1" applyAlignment="1">
      <alignment horizontal="center" wrapText="1"/>
    </xf>
    <xf numFmtId="164" fontId="3" fillId="3" borderId="8" xfId="0" applyNumberFormat="1" applyFont="1" applyFill="1" applyBorder="1" applyAlignment="1" applyProtection="1">
      <alignment horizontal="center"/>
      <protection locked="0"/>
    </xf>
    <xf numFmtId="164" fontId="3" fillId="3" borderId="10" xfId="0" applyNumberFormat="1" applyFont="1" applyFill="1" applyBorder="1" applyAlignment="1" applyProtection="1">
      <alignment horizontal="center"/>
      <protection locked="0"/>
    </xf>
    <xf numFmtId="164" fontId="3" fillId="3" borderId="13" xfId="0" applyNumberFormat="1" applyFont="1" applyFill="1" applyBorder="1" applyAlignment="1" applyProtection="1">
      <alignment horizontal="center"/>
      <protection locked="0"/>
    </xf>
    <xf numFmtId="0" fontId="4" fillId="4" borderId="11" xfId="0" applyFont="1" applyFill="1" applyBorder="1"/>
    <xf numFmtId="0" fontId="4" fillId="4" borderId="12" xfId="0" applyFont="1" applyFill="1" applyBorder="1" applyAlignment="1">
      <alignment horizontal="center"/>
    </xf>
    <xf numFmtId="165" fontId="4" fillId="4" borderId="12" xfId="0" applyNumberFormat="1" applyFont="1" applyFill="1" applyBorder="1" applyAlignment="1">
      <alignment horizontal="center"/>
    </xf>
    <xf numFmtId="165" fontId="4" fillId="4" borderId="16" xfId="0" applyNumberFormat="1" applyFont="1" applyFill="1" applyBorder="1" applyAlignment="1">
      <alignment horizontal="center"/>
    </xf>
    <xf numFmtId="4" fontId="3" fillId="0" borderId="0" xfId="0" applyNumberFormat="1" applyFont="1" applyAlignment="1">
      <alignment horizontal="center"/>
    </xf>
    <xf numFmtId="164" fontId="4" fillId="2" borderId="8" xfId="27" applyNumberFormat="1" applyFont="1" applyFill="1" applyBorder="1" applyAlignment="1" applyProtection="1">
      <alignment horizontal="center"/>
    </xf>
    <xf numFmtId="164" fontId="4" fillId="2" borderId="10" xfId="27" applyNumberFormat="1" applyFont="1" applyFill="1" applyBorder="1" applyAlignment="1" applyProtection="1">
      <alignment horizontal="center"/>
    </xf>
    <xf numFmtId="164" fontId="4" fillId="2" borderId="13" xfId="27" applyNumberFormat="1" applyFont="1" applyFill="1" applyBorder="1" applyAlignment="1" applyProtection="1">
      <alignment horizontal="center"/>
    </xf>
    <xf numFmtId="164" fontId="3" fillId="5" borderId="7" xfId="27" applyNumberFormat="1" applyFont="1" applyFill="1" applyBorder="1" applyAlignment="1">
      <alignment horizontal="center"/>
    </xf>
    <xf numFmtId="4" fontId="3" fillId="3" borderId="6" xfId="27" applyNumberFormat="1" applyFont="1" applyFill="1" applyBorder="1" applyAlignment="1" applyProtection="1">
      <alignment horizontal="center"/>
      <protection locked="0"/>
    </xf>
    <xf numFmtId="4" fontId="4" fillId="2" borderId="6" xfId="27" applyNumberFormat="1" applyFont="1" applyFill="1" applyBorder="1" applyAlignment="1" applyProtection="1">
      <alignment horizontal="center"/>
    </xf>
    <xf numFmtId="4" fontId="3" fillId="3" borderId="9" xfId="27" applyNumberFormat="1" applyFont="1" applyFill="1" applyBorder="1" applyAlignment="1" applyProtection="1">
      <alignment horizontal="center"/>
      <protection locked="0"/>
    </xf>
    <xf numFmtId="4" fontId="4" fillId="2" borderId="9" xfId="27" applyNumberFormat="1" applyFont="1" applyFill="1" applyBorder="1" applyAlignment="1" applyProtection="1">
      <alignment horizontal="center"/>
    </xf>
    <xf numFmtId="4" fontId="3" fillId="3" borderId="11" xfId="27" applyNumberFormat="1" applyFont="1" applyFill="1" applyBorder="1" applyAlignment="1" applyProtection="1">
      <alignment horizontal="center"/>
      <protection locked="0"/>
    </xf>
    <xf numFmtId="4" fontId="4" fillId="2" borderId="11" xfId="27" applyNumberFormat="1" applyFont="1" applyFill="1" applyBorder="1" applyAlignment="1" applyProtection="1">
      <alignment horizontal="center"/>
    </xf>
    <xf numFmtId="164" fontId="4" fillId="2" borderId="12" xfId="27" applyNumberFormat="1" applyFont="1" applyFill="1" applyBorder="1" applyAlignment="1">
      <alignment horizontal="center"/>
    </xf>
    <xf numFmtId="189" fontId="3" fillId="3" borderId="8" xfId="27" applyNumberFormat="1" applyFont="1" applyFill="1" applyBorder="1" applyAlignment="1" applyProtection="1">
      <alignment horizontal="center"/>
      <protection locked="0"/>
    </xf>
    <xf numFmtId="4" fontId="4" fillId="2" borderId="6" xfId="11" applyNumberFormat="1" applyFont="1" applyFill="1" applyBorder="1" applyAlignment="1" applyProtection="1">
      <alignment horizontal="center"/>
    </xf>
    <xf numFmtId="189" fontId="3" fillId="3" borderId="10" xfId="27" applyNumberFormat="1" applyFont="1" applyFill="1" applyBorder="1" applyAlignment="1" applyProtection="1">
      <alignment horizontal="center"/>
      <protection locked="0"/>
    </xf>
    <xf numFmtId="4" fontId="4" fillId="2" borderId="9" xfId="11" applyNumberFormat="1" applyFont="1" applyFill="1" applyBorder="1" applyAlignment="1" applyProtection="1">
      <alignment horizontal="center"/>
    </xf>
    <xf numFmtId="189" fontId="3" fillId="3" borderId="13" xfId="27" applyNumberFormat="1" applyFont="1" applyFill="1" applyBorder="1" applyAlignment="1" applyProtection="1">
      <alignment horizontal="center"/>
      <protection locked="0"/>
    </xf>
    <xf numFmtId="4" fontId="4" fillId="2" borderId="11" xfId="11" applyNumberFormat="1" applyFont="1" applyFill="1" applyBorder="1" applyAlignment="1" applyProtection="1">
      <alignment horizontal="center"/>
    </xf>
    <xf numFmtId="176" fontId="3" fillId="0" borderId="0" xfId="27" applyNumberFormat="1" applyFont="1" applyFill="1" applyBorder="1" applyAlignment="1">
      <alignment horizontal="center"/>
    </xf>
    <xf numFmtId="0" fontId="3" fillId="5" borderId="6" xfId="27" applyFont="1" applyFill="1" applyBorder="1"/>
    <xf numFmtId="0" fontId="3" fillId="5" borderId="7" xfId="27" applyFont="1" applyFill="1" applyBorder="1" applyAlignment="1">
      <alignment horizontal="center"/>
    </xf>
    <xf numFmtId="0" fontId="3" fillId="0" borderId="14" xfId="27" applyFont="1" applyFill="1" applyBorder="1" applyAlignment="1" applyProtection="1">
      <alignment horizontal="center"/>
      <protection locked="0"/>
    </xf>
    <xf numFmtId="4" fontId="3" fillId="3" borderId="14" xfId="27" applyNumberFormat="1" applyFont="1" applyFill="1" applyBorder="1" applyAlignment="1" applyProtection="1">
      <alignment horizontal="center"/>
      <protection locked="0"/>
    </xf>
    <xf numFmtId="0" fontId="4" fillId="0" borderId="15" xfId="27" applyFont="1" applyFill="1" applyBorder="1" applyAlignment="1" applyProtection="1">
      <alignment horizontal="center"/>
    </xf>
    <xf numFmtId="4" fontId="3" fillId="3" borderId="15" xfId="27" applyNumberFormat="1" applyFont="1" applyFill="1" applyBorder="1" applyAlignment="1" applyProtection="1">
      <alignment horizontal="center"/>
      <protection locked="0"/>
    </xf>
    <xf numFmtId="189" fontId="3" fillId="3" borderId="3" xfId="27" applyNumberFormat="1" applyFont="1" applyFill="1" applyBorder="1" applyAlignment="1" applyProtection="1">
      <alignment horizontal="center"/>
    </xf>
    <xf numFmtId="0" fontId="3" fillId="0" borderId="16" xfId="27" applyFont="1" applyFill="1" applyBorder="1" applyAlignment="1" applyProtection="1">
      <alignment horizontal="center"/>
      <protection locked="0"/>
    </xf>
    <xf numFmtId="4" fontId="3" fillId="3" borderId="16" xfId="27" applyNumberFormat="1" applyFont="1" applyFill="1" applyBorder="1" applyAlignment="1" applyProtection="1">
      <alignment horizontal="center"/>
      <protection locked="0"/>
    </xf>
    <xf numFmtId="0" fontId="4" fillId="2" borderId="11" xfId="27" applyFont="1" applyFill="1" applyBorder="1"/>
    <xf numFmtId="0" fontId="4" fillId="2" borderId="12" xfId="27" applyFont="1" applyFill="1" applyBorder="1" applyAlignment="1">
      <alignment horizontal="center"/>
    </xf>
    <xf numFmtId="4" fontId="3" fillId="3" borderId="6" xfId="11" applyNumberFormat="1" applyFont="1" applyFill="1" applyBorder="1" applyAlignment="1" applyProtection="1">
      <alignment horizontal="center"/>
      <protection locked="0"/>
    </xf>
    <xf numFmtId="4" fontId="3" fillId="3" borderId="11" xfId="11" applyNumberFormat="1" applyFont="1" applyFill="1" applyBorder="1" applyAlignment="1" applyProtection="1">
      <alignment horizontal="center"/>
      <protection locked="0"/>
    </xf>
    <xf numFmtId="165" fontId="4" fillId="2" borderId="8" xfId="27" applyNumberFormat="1" applyFont="1" applyFill="1" applyBorder="1" applyAlignment="1" applyProtection="1">
      <alignment horizontal="center"/>
    </xf>
    <xf numFmtId="165" fontId="4" fillId="2" borderId="10" xfId="27" applyNumberFormat="1" applyFont="1" applyFill="1" applyBorder="1" applyAlignment="1" applyProtection="1">
      <alignment horizontal="center"/>
    </xf>
    <xf numFmtId="165" fontId="4" fillId="2" borderId="13" xfId="27" applyNumberFormat="1" applyFont="1" applyFill="1" applyBorder="1" applyAlignment="1" applyProtection="1">
      <alignment horizontal="center"/>
    </xf>
    <xf numFmtId="189" fontId="3" fillId="3" borderId="3" xfId="0" applyNumberFormat="1" applyFont="1" applyFill="1" applyBorder="1" applyAlignment="1" applyProtection="1">
      <alignment horizontal="center"/>
      <protection locked="0"/>
    </xf>
    <xf numFmtId="4" fontId="3" fillId="3" borderId="8" xfId="9" applyNumberFormat="1" applyFont="1" applyFill="1" applyBorder="1" applyAlignment="1" applyProtection="1">
      <alignment horizontal="center"/>
      <protection locked="0"/>
    </xf>
    <xf numFmtId="4" fontId="3" fillId="3" borderId="13" xfId="9" applyNumberFormat="1" applyFont="1" applyFill="1" applyBorder="1" applyAlignment="1" applyProtection="1">
      <alignment horizontal="center"/>
      <protection locked="0"/>
    </xf>
    <xf numFmtId="0" fontId="2" fillId="0" borderId="0" xfId="27" applyFont="1"/>
    <xf numFmtId="0" fontId="9" fillId="0" borderId="0" xfId="27" applyFont="1" applyAlignment="1">
      <alignment horizontal="center"/>
    </xf>
    <xf numFmtId="193" fontId="3" fillId="3" borderId="3" xfId="27" applyNumberFormat="1" applyFont="1" applyFill="1" applyBorder="1" applyAlignment="1" applyProtection="1">
      <alignment horizontal="center"/>
      <protection locked="0"/>
    </xf>
    <xf numFmtId="193" fontId="3" fillId="0" borderId="0" xfId="27" applyNumberFormat="1" applyFont="1" applyAlignment="1">
      <alignment horizontal="center"/>
    </xf>
    <xf numFmtId="193" fontId="4" fillId="2" borderId="3" xfId="27" applyNumberFormat="1" applyFont="1" applyFill="1" applyBorder="1" applyAlignment="1">
      <alignment horizontal="center"/>
    </xf>
    <xf numFmtId="193" fontId="3" fillId="0" borderId="0" xfId="27" applyNumberFormat="1" applyFont="1" applyBorder="1" applyAlignment="1">
      <alignment horizontal="center"/>
    </xf>
    <xf numFmtId="0" fontId="3" fillId="0" borderId="0" xfId="27" applyFont="1" applyAlignment="1">
      <alignment horizontal="right"/>
    </xf>
    <xf numFmtId="0" fontId="9" fillId="0" borderId="0" xfId="27" applyFont="1" applyAlignment="1">
      <alignment horizontal="centerContinuous"/>
    </xf>
    <xf numFmtId="0" fontId="3" fillId="0" borderId="0" xfId="27" applyFont="1" applyAlignment="1">
      <alignment horizontal="centerContinuous"/>
    </xf>
    <xf numFmtId="0" fontId="3" fillId="0" borderId="12" xfId="27" applyFont="1" applyBorder="1"/>
    <xf numFmtId="0" fontId="3" fillId="0" borderId="12" xfId="27" applyFont="1" applyBorder="1" applyAlignment="1">
      <alignment horizontal="center" wrapText="1"/>
    </xf>
    <xf numFmtId="0" fontId="3" fillId="0" borderId="12" xfId="27" applyFont="1" applyBorder="1" applyAlignment="1">
      <alignment horizontal="right"/>
    </xf>
    <xf numFmtId="0" fontId="3" fillId="0" borderId="0" xfId="27" applyFont="1" applyBorder="1" applyAlignment="1">
      <alignment horizontal="right"/>
    </xf>
    <xf numFmtId="0" fontId="4" fillId="6" borderId="4" xfId="27" applyFont="1" applyFill="1" applyBorder="1" applyAlignment="1">
      <alignment horizontal="center"/>
    </xf>
    <xf numFmtId="0" fontId="4" fillId="6" borderId="2" xfId="27" applyFont="1" applyFill="1" applyBorder="1" applyAlignment="1">
      <alignment horizontal="center"/>
    </xf>
    <xf numFmtId="0" fontId="4" fillId="6" borderId="5" xfId="27" applyFont="1" applyFill="1" applyBorder="1" applyAlignment="1">
      <alignment horizontal="center"/>
    </xf>
    <xf numFmtId="0" fontId="3" fillId="5" borderId="2" xfId="27" applyFont="1" applyFill="1" applyBorder="1" applyAlignment="1" applyProtection="1">
      <alignment horizontal="right"/>
      <protection locked="0"/>
    </xf>
    <xf numFmtId="0" fontId="3" fillId="5" borderId="5" xfId="27" applyFont="1" applyFill="1" applyBorder="1" applyAlignment="1" applyProtection="1">
      <alignment horizontal="right"/>
      <protection locked="0"/>
    </xf>
    <xf numFmtId="0" fontId="3" fillId="0" borderId="0" xfId="27" applyFont="1" applyAlignment="1" applyProtection="1">
      <alignment horizontal="right"/>
      <protection locked="0"/>
    </xf>
    <xf numFmtId="193" fontId="3" fillId="5" borderId="4" xfId="27" applyNumberFormat="1" applyFont="1" applyFill="1" applyBorder="1" applyAlignment="1">
      <alignment horizontal="center"/>
    </xf>
    <xf numFmtId="193" fontId="3" fillId="5" borderId="2" xfId="27" applyNumberFormat="1" applyFont="1" applyFill="1" applyBorder="1" applyAlignment="1">
      <alignment horizontal="center"/>
    </xf>
    <xf numFmtId="193" fontId="3" fillId="5" borderId="5" xfId="27" applyNumberFormat="1" applyFont="1" applyFill="1" applyBorder="1" applyAlignment="1">
      <alignment horizontal="center"/>
    </xf>
    <xf numFmtId="0" fontId="3" fillId="7" borderId="9" xfId="27" applyFont="1" applyFill="1" applyBorder="1" applyAlignment="1" applyProtection="1">
      <alignment horizontal="left"/>
      <protection locked="0"/>
    </xf>
    <xf numFmtId="193" fontId="3" fillId="3" borderId="8" xfId="27" applyNumberFormat="1" applyFont="1" applyFill="1" applyBorder="1" applyAlignment="1" applyProtection="1">
      <alignment horizontal="center"/>
      <protection locked="0"/>
    </xf>
    <xf numFmtId="10" fontId="3" fillId="3" borderId="8" xfId="27" applyNumberFormat="1" applyFont="1" applyFill="1" applyBorder="1" applyAlignment="1" applyProtection="1">
      <alignment horizontal="center"/>
      <protection locked="0"/>
    </xf>
    <xf numFmtId="193" fontId="4" fillId="2" borderId="0" xfId="27" applyNumberFormat="1" applyFont="1" applyFill="1" applyBorder="1" applyAlignment="1">
      <alignment horizontal="center"/>
    </xf>
    <xf numFmtId="0" fontId="3" fillId="0" borderId="6" xfId="27" applyFont="1" applyBorder="1" applyAlignment="1" applyProtection="1">
      <alignment horizontal="right"/>
      <protection locked="0"/>
    </xf>
    <xf numFmtId="0" fontId="3" fillId="0" borderId="7" xfId="27" applyFont="1" applyBorder="1" applyAlignment="1" applyProtection="1">
      <alignment horizontal="right"/>
      <protection locked="0"/>
    </xf>
    <xf numFmtId="0" fontId="3" fillId="0" borderId="14" xfId="27" applyFont="1" applyBorder="1" applyAlignment="1" applyProtection="1">
      <alignment horizontal="right"/>
      <protection locked="0"/>
    </xf>
    <xf numFmtId="193" fontId="3" fillId="0" borderId="6" xfId="27" applyNumberFormat="1" applyFont="1" applyBorder="1" applyAlignment="1">
      <alignment horizontal="center"/>
    </xf>
    <xf numFmtId="193" fontId="3" fillId="0" borderId="7" xfId="27" applyNumberFormat="1" applyFont="1" applyBorder="1" applyAlignment="1">
      <alignment horizontal="center"/>
    </xf>
    <xf numFmtId="193" fontId="3" fillId="0" borderId="14" xfId="27" applyNumberFormat="1" applyFont="1" applyBorder="1" applyAlignment="1">
      <alignment horizontal="center"/>
    </xf>
    <xf numFmtId="0" fontId="3" fillId="7" borderId="9" xfId="27" applyFont="1" applyFill="1" applyBorder="1" applyProtection="1">
      <protection locked="0"/>
    </xf>
    <xf numFmtId="193" fontId="3" fillId="3" borderId="10" xfId="27" applyNumberFormat="1" applyFont="1" applyFill="1" applyBorder="1" applyAlignment="1" applyProtection="1">
      <alignment horizontal="center"/>
      <protection locked="0"/>
    </xf>
    <xf numFmtId="10" fontId="3" fillId="3" borderId="10" xfId="27" applyNumberFormat="1" applyFont="1" applyFill="1" applyBorder="1" applyAlignment="1" applyProtection="1">
      <alignment horizontal="center"/>
      <protection locked="0"/>
    </xf>
    <xf numFmtId="0" fontId="3" fillId="0" borderId="9" xfId="27" applyFont="1" applyBorder="1" applyAlignment="1" applyProtection="1">
      <alignment horizontal="right"/>
      <protection locked="0"/>
    </xf>
    <xf numFmtId="0" fontId="3" fillId="0" borderId="0" xfId="27" applyFont="1" applyBorder="1" applyAlignment="1" applyProtection="1">
      <alignment horizontal="right"/>
      <protection locked="0"/>
    </xf>
    <xf numFmtId="0" fontId="3" fillId="0" borderId="15" xfId="27" applyFont="1" applyBorder="1" applyAlignment="1" applyProtection="1">
      <alignment horizontal="right"/>
      <protection locked="0"/>
    </xf>
    <xf numFmtId="193" fontId="3" fillId="0" borderId="9" xfId="27" applyNumberFormat="1" applyFont="1" applyBorder="1" applyAlignment="1">
      <alignment horizontal="center"/>
    </xf>
    <xf numFmtId="193" fontId="3" fillId="0" borderId="15" xfId="27" applyNumberFormat="1" applyFont="1" applyBorder="1" applyAlignment="1">
      <alignment horizontal="center"/>
    </xf>
    <xf numFmtId="0" fontId="3" fillId="7" borderId="11" xfId="27" applyFont="1" applyFill="1" applyBorder="1" applyAlignment="1" applyProtection="1">
      <alignment horizontal="left"/>
      <protection locked="0"/>
    </xf>
    <xf numFmtId="193" fontId="3" fillId="3" borderId="13" xfId="27" applyNumberFormat="1" applyFont="1" applyFill="1" applyBorder="1" applyAlignment="1" applyProtection="1">
      <alignment horizontal="center"/>
      <protection locked="0"/>
    </xf>
    <xf numFmtId="10" fontId="3" fillId="3" borderId="13" xfId="27" applyNumberFormat="1" applyFont="1" applyFill="1" applyBorder="1" applyAlignment="1" applyProtection="1">
      <alignment horizontal="center"/>
      <protection locked="0"/>
    </xf>
    <xf numFmtId="193" fontId="4" fillId="2" borderId="12" xfId="27" applyNumberFormat="1" applyFont="1" applyFill="1" applyBorder="1" applyAlignment="1">
      <alignment horizontal="center"/>
    </xf>
    <xf numFmtId="0" fontId="3" fillId="0" borderId="11" xfId="27" applyFont="1" applyBorder="1" applyAlignment="1" applyProtection="1">
      <alignment horizontal="right"/>
      <protection locked="0"/>
    </xf>
    <xf numFmtId="0" fontId="3" fillId="0" borderId="12" xfId="27" applyFont="1" applyBorder="1" applyAlignment="1" applyProtection="1">
      <alignment horizontal="right"/>
      <protection locked="0"/>
    </xf>
    <xf numFmtId="0" fontId="3" fillId="0" borderId="16" xfId="27" applyFont="1" applyBorder="1" applyAlignment="1" applyProtection="1">
      <alignment horizontal="right"/>
      <protection locked="0"/>
    </xf>
    <xf numFmtId="193" fontId="3" fillId="0" borderId="11" xfId="27" applyNumberFormat="1" applyFont="1" applyBorder="1" applyAlignment="1">
      <alignment horizontal="center"/>
    </xf>
    <xf numFmtId="193" fontId="3" fillId="0" borderId="12" xfId="27" applyNumberFormat="1" applyFont="1" applyBorder="1" applyAlignment="1">
      <alignment horizontal="center"/>
    </xf>
    <xf numFmtId="193" fontId="3" fillId="0" borderId="16" xfId="27" applyNumberFormat="1" applyFont="1" applyBorder="1" applyAlignment="1">
      <alignment horizontal="center"/>
    </xf>
    <xf numFmtId="0" fontId="4" fillId="2" borderId="4" xfId="27" applyFont="1" applyFill="1" applyBorder="1" applyAlignment="1">
      <alignment horizontal="left"/>
    </xf>
    <xf numFmtId="193" fontId="4" fillId="2" borderId="2" xfId="27" applyNumberFormat="1" applyFont="1" applyFill="1" applyBorder="1" applyAlignment="1">
      <alignment horizontal="center"/>
    </xf>
    <xf numFmtId="10" fontId="4" fillId="2" borderId="2" xfId="27" applyNumberFormat="1" applyFont="1" applyFill="1" applyBorder="1" applyAlignment="1">
      <alignment horizontal="center"/>
    </xf>
    <xf numFmtId="193" fontId="4" fillId="2" borderId="5" xfId="27" applyNumberFormat="1" applyFont="1" applyFill="1" applyBorder="1" applyAlignment="1">
      <alignment horizontal="center"/>
    </xf>
    <xf numFmtId="0" fontId="3" fillId="0" borderId="0" xfId="27" applyFont="1" applyProtection="1"/>
    <xf numFmtId="10" fontId="3" fillId="0" borderId="0" xfId="27" applyNumberFormat="1" applyFont="1" applyAlignment="1">
      <alignment horizontal="center"/>
    </xf>
    <xf numFmtId="10" fontId="3" fillId="5" borderId="2" xfId="27" applyNumberFormat="1" applyFont="1" applyFill="1" applyBorder="1" applyAlignment="1">
      <alignment horizontal="center"/>
    </xf>
    <xf numFmtId="1" fontId="3" fillId="5" borderId="2" xfId="27" applyNumberFormat="1" applyFont="1" applyFill="1" applyBorder="1" applyAlignment="1">
      <alignment horizontal="center"/>
    </xf>
    <xf numFmtId="0" fontId="3" fillId="7" borderId="6" xfId="27" applyFont="1" applyFill="1" applyBorder="1" applyProtection="1">
      <protection locked="0"/>
    </xf>
    <xf numFmtId="193" fontId="4" fillId="2" borderId="8" xfId="27" applyNumberFormat="1" applyFont="1" applyFill="1" applyBorder="1" applyAlignment="1">
      <alignment horizontal="center"/>
    </xf>
    <xf numFmtId="193" fontId="4" fillId="2" borderId="10" xfId="27" applyNumberFormat="1" applyFont="1" applyFill="1" applyBorder="1" applyAlignment="1">
      <alignment horizontal="center"/>
    </xf>
    <xf numFmtId="0" fontId="3" fillId="7" borderId="11" xfId="27" applyFont="1" applyFill="1" applyBorder="1" applyProtection="1">
      <protection locked="0"/>
    </xf>
    <xf numFmtId="193" fontId="4" fillId="2" borderId="13" xfId="27" applyNumberFormat="1" applyFont="1" applyFill="1" applyBorder="1" applyAlignment="1">
      <alignment horizontal="center"/>
    </xf>
    <xf numFmtId="0" fontId="3" fillId="7" borderId="4" xfId="27" applyFont="1" applyFill="1" applyBorder="1" applyProtection="1">
      <protection locked="0"/>
    </xf>
    <xf numFmtId="0" fontId="3" fillId="0" borderId="2" xfId="27" applyFont="1" applyBorder="1" applyAlignment="1" applyProtection="1">
      <alignment horizontal="right"/>
      <protection locked="0"/>
    </xf>
    <xf numFmtId="0" fontId="3" fillId="0" borderId="5" xfId="27" applyFont="1" applyBorder="1" applyAlignment="1" applyProtection="1">
      <alignment horizontal="right"/>
      <protection locked="0"/>
    </xf>
    <xf numFmtId="193" fontId="3" fillId="0" borderId="4" xfId="27" applyNumberFormat="1" applyFont="1" applyBorder="1" applyAlignment="1">
      <alignment horizontal="center"/>
    </xf>
    <xf numFmtId="193" fontId="3" fillId="0" borderId="2" xfId="27" applyNumberFormat="1" applyFont="1" applyBorder="1" applyAlignment="1">
      <alignment horizontal="center"/>
    </xf>
    <xf numFmtId="193" fontId="3" fillId="0" borderId="5" xfId="27" applyNumberFormat="1" applyFont="1" applyBorder="1" applyAlignment="1">
      <alignment horizontal="center"/>
    </xf>
    <xf numFmtId="0" fontId="4" fillId="6" borderId="6" xfId="27" applyFont="1" applyFill="1" applyBorder="1"/>
    <xf numFmtId="193" fontId="4" fillId="6" borderId="7" xfId="27" applyNumberFormat="1" applyFont="1" applyFill="1" applyBorder="1" applyAlignment="1">
      <alignment horizontal="center"/>
    </xf>
    <xf numFmtId="193" fontId="4" fillId="6" borderId="14" xfId="27" applyNumberFormat="1" applyFont="1" applyFill="1" applyBorder="1" applyAlignment="1">
      <alignment horizontal="center"/>
    </xf>
    <xf numFmtId="0" fontId="4" fillId="6" borderId="11" xfId="27" applyFont="1" applyFill="1" applyBorder="1"/>
    <xf numFmtId="193" fontId="4" fillId="6" borderId="12" xfId="27" applyNumberFormat="1" applyFont="1" applyFill="1" applyBorder="1" applyAlignment="1">
      <alignment horizontal="center"/>
    </xf>
    <xf numFmtId="193" fontId="4" fillId="6" borderId="16" xfId="27" applyNumberFormat="1" applyFont="1" applyFill="1" applyBorder="1" applyAlignment="1">
      <alignment horizontal="center"/>
    </xf>
    <xf numFmtId="0" fontId="2" fillId="0" borderId="0" xfId="27" applyFont="1" applyFill="1"/>
    <xf numFmtId="0" fontId="10" fillId="0" borderId="0" xfId="27" applyFont="1" applyFill="1"/>
    <xf numFmtId="0" fontId="10" fillId="0" borderId="0" xfId="27" applyFont="1" applyFill="1" applyAlignment="1">
      <alignment horizontal="right"/>
    </xf>
    <xf numFmtId="0" fontId="10" fillId="0" borderId="0" xfId="27" applyFont="1"/>
    <xf numFmtId="10" fontId="11" fillId="0" borderId="0" xfId="27" applyNumberFormat="1" applyFont="1" applyFill="1" applyAlignment="1">
      <alignment horizontal="center"/>
    </xf>
    <xf numFmtId="2" fontId="10" fillId="0" borderId="0" xfId="27" applyNumberFormat="1" applyFont="1" applyFill="1" applyAlignment="1">
      <alignment horizontal="center"/>
    </xf>
    <xf numFmtId="2" fontId="11" fillId="0" borderId="0" xfId="27" applyNumberFormat="1" applyFont="1" applyFill="1" applyAlignment="1" applyProtection="1">
      <alignment horizontal="center"/>
    </xf>
    <xf numFmtId="3" fontId="11" fillId="0" borderId="0" xfId="27" applyNumberFormat="1" applyFont="1" applyFill="1" applyAlignment="1" applyProtection="1">
      <alignment horizontal="center"/>
    </xf>
    <xf numFmtId="2" fontId="11" fillId="0" borderId="0" xfId="27" applyNumberFormat="1" applyFont="1" applyFill="1" applyProtection="1"/>
    <xf numFmtId="0" fontId="3" fillId="0" borderId="12" xfId="27" applyFont="1" applyFill="1" applyBorder="1"/>
    <xf numFmtId="0" fontId="10" fillId="0" borderId="12" xfId="27" applyFont="1" applyFill="1" applyBorder="1"/>
    <xf numFmtId="0" fontId="4" fillId="6" borderId="12" xfId="27" applyFont="1" applyFill="1" applyBorder="1" applyAlignment="1">
      <alignment horizontal="center" wrapText="1"/>
    </xf>
    <xf numFmtId="0" fontId="4" fillId="6" borderId="4" xfId="27" applyFont="1" applyFill="1" applyBorder="1" applyAlignment="1">
      <alignment horizontal="center" wrapText="1"/>
    </xf>
    <xf numFmtId="0" fontId="4" fillId="6" borderId="2" xfId="27" applyFont="1" applyFill="1" applyBorder="1" applyAlignment="1">
      <alignment horizontal="center" wrapText="1"/>
    </xf>
    <xf numFmtId="0" fontId="4" fillId="6" borderId="5" xfId="27" applyFont="1" applyFill="1" applyBorder="1" applyAlignment="1">
      <alignment horizontal="center" wrapText="1"/>
    </xf>
    <xf numFmtId="0" fontId="3" fillId="0" borderId="3" xfId="27" applyFont="1" applyFill="1" applyBorder="1" applyAlignment="1">
      <alignment horizontal="center"/>
    </xf>
    <xf numFmtId="0" fontId="4" fillId="6" borderId="3" xfId="27" applyFont="1" applyFill="1" applyBorder="1" applyAlignment="1">
      <alignment horizontal="center" wrapText="1"/>
    </xf>
    <xf numFmtId="0" fontId="10" fillId="0" borderId="0" xfId="27" applyFont="1" applyFill="1" applyAlignment="1">
      <alignment horizontal="center"/>
    </xf>
    <xf numFmtId="193" fontId="10" fillId="0" borderId="0" xfId="27" applyNumberFormat="1" applyFont="1" applyFill="1" applyAlignment="1">
      <alignment horizontal="center"/>
    </xf>
    <xf numFmtId="193" fontId="10" fillId="0" borderId="9" xfId="27" applyNumberFormat="1" applyFont="1" applyFill="1" applyBorder="1" applyAlignment="1">
      <alignment horizontal="center"/>
    </xf>
    <xf numFmtId="193" fontId="10" fillId="0" borderId="0" xfId="27" applyNumberFormat="1" applyFont="1" applyFill="1" applyBorder="1" applyAlignment="1">
      <alignment horizontal="center"/>
    </xf>
    <xf numFmtId="193" fontId="10" fillId="0" borderId="15" xfId="27" applyNumberFormat="1" applyFont="1" applyFill="1" applyBorder="1" applyAlignment="1">
      <alignment horizontal="center"/>
    </xf>
    <xf numFmtId="0" fontId="3" fillId="0" borderId="10" xfId="27" applyFont="1" applyFill="1" applyBorder="1" applyAlignment="1">
      <alignment horizontal="center"/>
    </xf>
    <xf numFmtId="193" fontId="10" fillId="0" borderId="10" xfId="27" applyNumberFormat="1" applyFont="1" applyFill="1" applyBorder="1" applyAlignment="1">
      <alignment horizontal="center"/>
    </xf>
    <xf numFmtId="3" fontId="10" fillId="0" borderId="0" xfId="27" applyNumberFormat="1" applyFont="1" applyFill="1" applyAlignment="1">
      <alignment horizontal="center"/>
    </xf>
    <xf numFmtId="0" fontId="10" fillId="0" borderId="0" xfId="27" applyFont="1" applyFill="1" applyBorder="1" applyAlignment="1">
      <alignment horizontal="center"/>
    </xf>
    <xf numFmtId="3" fontId="10" fillId="0" borderId="0" xfId="27" applyNumberFormat="1" applyFont="1" applyFill="1" applyBorder="1" applyAlignment="1">
      <alignment horizontal="center"/>
    </xf>
    <xf numFmtId="0" fontId="10" fillId="0" borderId="0" xfId="27" applyFont="1" applyFill="1" applyBorder="1"/>
    <xf numFmtId="0" fontId="10" fillId="0" borderId="0" xfId="27" applyFont="1" applyBorder="1"/>
    <xf numFmtId="0" fontId="10" fillId="0" borderId="12" xfId="27" applyFont="1" applyFill="1" applyBorder="1" applyAlignment="1">
      <alignment horizontal="center"/>
    </xf>
    <xf numFmtId="3" fontId="10" fillId="0" borderId="12" xfId="27" applyNumberFormat="1" applyFont="1" applyFill="1" applyBorder="1" applyAlignment="1">
      <alignment horizontal="center"/>
    </xf>
    <xf numFmtId="193" fontId="10" fillId="0" borderId="12" xfId="27" applyNumberFormat="1" applyFont="1" applyFill="1" applyBorder="1" applyAlignment="1">
      <alignment horizontal="center"/>
    </xf>
    <xf numFmtId="193" fontId="10" fillId="0" borderId="11" xfId="27" applyNumberFormat="1" applyFont="1" applyFill="1" applyBorder="1" applyAlignment="1">
      <alignment horizontal="center"/>
    </xf>
    <xf numFmtId="193" fontId="10" fillId="0" borderId="16" xfId="27" applyNumberFormat="1" applyFont="1" applyFill="1" applyBorder="1" applyAlignment="1">
      <alignment horizontal="center"/>
    </xf>
    <xf numFmtId="0" fontId="3" fillId="0" borderId="13" xfId="27" applyFont="1" applyFill="1" applyBorder="1" applyAlignment="1">
      <alignment horizontal="center"/>
    </xf>
    <xf numFmtId="193" fontId="10" fillId="0" borderId="13" xfId="27" applyNumberFormat="1" applyFont="1" applyFill="1" applyBorder="1" applyAlignment="1">
      <alignment horizontal="center"/>
    </xf>
    <xf numFmtId="0" fontId="10" fillId="8" borderId="4" xfId="27" applyFont="1" applyFill="1" applyBorder="1" applyAlignment="1">
      <alignment horizontal="center"/>
    </xf>
    <xf numFmtId="3" fontId="10" fillId="8" borderId="2" xfId="27" applyNumberFormat="1" applyFont="1" applyFill="1" applyBorder="1" applyAlignment="1">
      <alignment horizontal="center"/>
    </xf>
    <xf numFmtId="193" fontId="10" fillId="8" borderId="2" xfId="27" applyNumberFormat="1" applyFont="1" applyFill="1" applyBorder="1" applyAlignment="1">
      <alignment horizontal="center"/>
    </xf>
    <xf numFmtId="193" fontId="10" fillId="8" borderId="5" xfId="27" applyNumberFormat="1" applyFont="1" applyFill="1" applyBorder="1" applyAlignment="1">
      <alignment horizontal="center"/>
    </xf>
    <xf numFmtId="0" fontId="10" fillId="9" borderId="4" xfId="27" applyFont="1" applyFill="1" applyBorder="1" applyAlignment="1">
      <alignment horizontal="center"/>
    </xf>
    <xf numFmtId="3" fontId="10" fillId="9" borderId="2" xfId="27" applyNumberFormat="1" applyFont="1" applyFill="1" applyBorder="1" applyAlignment="1">
      <alignment horizontal="center"/>
    </xf>
    <xf numFmtId="193" fontId="10" fillId="9" borderId="2" xfId="27" applyNumberFormat="1" applyFont="1" applyFill="1" applyBorder="1" applyAlignment="1">
      <alignment horizontal="center"/>
    </xf>
    <xf numFmtId="193" fontId="10" fillId="9" borderId="5" xfId="27" applyNumberFormat="1" applyFont="1" applyFill="1" applyBorder="1" applyAlignment="1">
      <alignment horizontal="center"/>
    </xf>
    <xf numFmtId="0" fontId="10" fillId="5" borderId="4" xfId="27" applyFont="1" applyFill="1" applyBorder="1" applyAlignment="1">
      <alignment horizontal="center" wrapText="1"/>
    </xf>
    <xf numFmtId="0" fontId="10" fillId="5" borderId="2" xfId="27" applyFont="1" applyFill="1" applyBorder="1" applyAlignment="1">
      <alignment horizontal="center" wrapText="1"/>
    </xf>
    <xf numFmtId="169" fontId="10" fillId="5" borderId="2" xfId="27" applyNumberFormat="1" applyFont="1" applyFill="1" applyBorder="1" applyAlignment="1">
      <alignment horizontal="center" wrapText="1"/>
    </xf>
    <xf numFmtId="169" fontId="10" fillId="5" borderId="5" xfId="27" applyNumberFormat="1" applyFont="1" applyFill="1" applyBorder="1" applyAlignment="1">
      <alignment horizontal="center" wrapText="1"/>
    </xf>
    <xf numFmtId="0" fontId="10" fillId="0" borderId="0" xfId="27" applyFont="1" applyFill="1" applyAlignment="1">
      <alignment horizontal="center" wrapText="1"/>
    </xf>
    <xf numFmtId="0" fontId="10" fillId="0" borderId="0" xfId="27" applyFont="1" applyFill="1" applyAlignment="1">
      <alignment wrapText="1"/>
    </xf>
    <xf numFmtId="0" fontId="10" fillId="0" borderId="0" xfId="27" applyFont="1" applyAlignment="1">
      <alignment wrapText="1"/>
    </xf>
    <xf numFmtId="0" fontId="10" fillId="10" borderId="4" xfId="27" applyFont="1" applyFill="1" applyBorder="1" applyAlignment="1">
      <alignment horizontal="center" wrapText="1"/>
    </xf>
    <xf numFmtId="2" fontId="10" fillId="10" borderId="2" xfId="27" applyNumberFormat="1" applyFont="1" applyFill="1" applyBorder="1" applyAlignment="1">
      <alignment horizontal="center" wrapText="1"/>
    </xf>
    <xf numFmtId="169" fontId="10" fillId="10" borderId="2" xfId="27" applyNumberFormat="1" applyFont="1" applyFill="1" applyBorder="1" applyAlignment="1">
      <alignment horizontal="center" wrapText="1"/>
    </xf>
    <xf numFmtId="0" fontId="10" fillId="10" borderId="2" xfId="27" applyFont="1" applyFill="1" applyBorder="1" applyAlignment="1">
      <alignment horizontal="center" wrapText="1"/>
    </xf>
    <xf numFmtId="169" fontId="10" fillId="10" borderId="5" xfId="27" applyNumberFormat="1" applyFont="1" applyFill="1" applyBorder="1" applyAlignment="1">
      <alignment horizontal="center" wrapText="1"/>
    </xf>
    <xf numFmtId="10" fontId="10" fillId="0" borderId="0" xfId="27" applyNumberFormat="1" applyFont="1" applyFill="1"/>
    <xf numFmtId="0" fontId="9" fillId="0" borderId="0" xfId="27" applyFont="1" applyFill="1" applyBorder="1" applyAlignment="1">
      <alignment horizontal="center"/>
    </xf>
    <xf numFmtId="169" fontId="10" fillId="0" borderId="0" xfId="27" applyNumberFormat="1" applyFont="1" applyFill="1" applyBorder="1" applyAlignment="1">
      <alignment horizontal="center"/>
    </xf>
    <xf numFmtId="168" fontId="10" fillId="0" borderId="0" xfId="27" applyNumberFormat="1" applyFont="1" applyFill="1" applyBorder="1" applyAlignment="1">
      <alignment horizontal="center"/>
    </xf>
    <xf numFmtId="10" fontId="10" fillId="0" borderId="0" xfId="27" applyNumberFormat="1" applyFont="1" applyFill="1" applyBorder="1"/>
    <xf numFmtId="10" fontId="3" fillId="3" borderId="15" xfId="27" applyNumberFormat="1" applyFont="1" applyFill="1" applyBorder="1" applyAlignment="1" applyProtection="1">
      <alignment horizontal="center"/>
      <protection locked="0"/>
    </xf>
    <xf numFmtId="10" fontId="3" fillId="3" borderId="14" xfId="27" applyNumberFormat="1" applyFont="1" applyFill="1" applyBorder="1" applyAlignment="1" applyProtection="1">
      <alignment horizontal="center"/>
      <protection locked="0"/>
    </xf>
    <xf numFmtId="10" fontId="3" fillId="3" borderId="16" xfId="27" applyNumberFormat="1" applyFont="1" applyFill="1" applyBorder="1" applyAlignment="1" applyProtection="1">
      <alignment horizontal="center"/>
      <protection locked="0"/>
    </xf>
    <xf numFmtId="0" fontId="12" fillId="0" borderId="0" xfId="27" applyFont="1"/>
    <xf numFmtId="1" fontId="12" fillId="0" borderId="0" xfId="27" applyNumberFormat="1" applyFont="1"/>
    <xf numFmtId="0" fontId="12" fillId="0" borderId="0" xfId="27" applyFont="1" applyBorder="1"/>
    <xf numFmtId="1" fontId="10" fillId="0" borderId="0" xfId="27" applyNumberFormat="1" applyFont="1"/>
    <xf numFmtId="0" fontId="13" fillId="0" borderId="0" xfId="27" applyFont="1"/>
    <xf numFmtId="169" fontId="12" fillId="0" borderId="0" xfId="27" applyNumberFormat="1" applyFont="1"/>
    <xf numFmtId="169" fontId="12" fillId="0" borderId="0" xfId="27" applyNumberFormat="1" applyFont="1" applyBorder="1"/>
    <xf numFmtId="173" fontId="3" fillId="0" borderId="0" xfId="11" applyFont="1" applyAlignment="1">
      <alignment horizontal="right"/>
    </xf>
    <xf numFmtId="0" fontId="3" fillId="0" borderId="12" xfId="27" applyFont="1" applyBorder="1" applyAlignment="1">
      <alignment wrapText="1"/>
    </xf>
    <xf numFmtId="173" fontId="3" fillId="0" borderId="12" xfId="11" applyFont="1" applyBorder="1" applyAlignment="1">
      <alignment horizontal="center" wrapText="1"/>
    </xf>
    <xf numFmtId="0" fontId="4" fillId="6" borderId="4" xfId="27" applyFont="1" applyFill="1" applyBorder="1"/>
    <xf numFmtId="169" fontId="4" fillId="6" borderId="2" xfId="27" applyNumberFormat="1" applyFont="1" applyFill="1" applyBorder="1" applyAlignment="1">
      <alignment horizontal="center"/>
    </xf>
    <xf numFmtId="168" fontId="4" fillId="6" borderId="5" xfId="11" applyNumberFormat="1" applyFont="1" applyFill="1" applyBorder="1" applyAlignment="1">
      <alignment horizontal="center"/>
    </xf>
    <xf numFmtId="169" fontId="3" fillId="0" borderId="0" xfId="27" applyNumberFormat="1" applyFont="1" applyAlignment="1">
      <alignment horizontal="center"/>
    </xf>
    <xf numFmtId="168" fontId="3" fillId="0" borderId="0" xfId="11" applyNumberFormat="1" applyFont="1" applyAlignment="1">
      <alignment horizontal="center"/>
    </xf>
    <xf numFmtId="169" fontId="3" fillId="5" borderId="7" xfId="27" applyNumberFormat="1" applyFont="1" applyFill="1" applyBorder="1" applyAlignment="1">
      <alignment horizontal="center"/>
    </xf>
    <xf numFmtId="168" fontId="3" fillId="5" borderId="14" xfId="11" applyNumberFormat="1" applyFont="1" applyFill="1" applyBorder="1" applyAlignment="1">
      <alignment horizontal="center"/>
    </xf>
    <xf numFmtId="0" fontId="3" fillId="5" borderId="9" xfId="27" applyFont="1" applyFill="1" applyBorder="1"/>
    <xf numFmtId="169" fontId="3" fillId="5" borderId="0" xfId="27" applyNumberFormat="1" applyFont="1" applyFill="1" applyBorder="1" applyAlignment="1">
      <alignment horizontal="center"/>
    </xf>
    <xf numFmtId="168" fontId="3" fillId="5" borderId="15" xfId="11" applyNumberFormat="1" applyFont="1" applyFill="1" applyBorder="1" applyAlignment="1">
      <alignment horizontal="center"/>
    </xf>
    <xf numFmtId="168" fontId="4" fillId="6" borderId="5" xfId="27" applyNumberFormat="1" applyFont="1" applyFill="1" applyBorder="1" applyAlignment="1">
      <alignment horizontal="center"/>
    </xf>
    <xf numFmtId="0" fontId="4" fillId="0" borderId="0" xfId="27" applyFont="1" applyFill="1" applyBorder="1"/>
    <xf numFmtId="169" fontId="4" fillId="0" borderId="0" xfId="27" applyNumberFormat="1" applyFont="1" applyFill="1" applyBorder="1" applyAlignment="1">
      <alignment horizontal="center"/>
    </xf>
    <xf numFmtId="168" fontId="4" fillId="0" borderId="0" xfId="27" applyNumberFormat="1" applyFont="1" applyFill="1" applyBorder="1" applyAlignment="1">
      <alignment horizontal="center"/>
    </xf>
    <xf numFmtId="0" fontId="3" fillId="5" borderId="11" xfId="27" applyFont="1" applyFill="1" applyBorder="1"/>
    <xf numFmtId="169" fontId="3" fillId="5" borderId="12" xfId="27" applyNumberFormat="1" applyFont="1" applyFill="1" applyBorder="1" applyAlignment="1">
      <alignment horizontal="center"/>
    </xf>
    <xf numFmtId="168" fontId="3" fillId="5" borderId="16" xfId="11" applyNumberFormat="1" applyFont="1" applyFill="1" applyBorder="1" applyAlignment="1">
      <alignment horizontal="center"/>
    </xf>
    <xf numFmtId="169" fontId="4" fillId="6" borderId="5" xfId="27" applyNumberFormat="1" applyFont="1" applyFill="1" applyBorder="1" applyAlignment="1">
      <alignment horizontal="center"/>
    </xf>
    <xf numFmtId="168" fontId="3" fillId="0" borderId="0" xfId="27" applyNumberFormat="1" applyFont="1" applyAlignment="1">
      <alignment horizontal="center"/>
    </xf>
    <xf numFmtId="10" fontId="4" fillId="6" borderId="8" xfId="27" applyNumberFormat="1" applyFont="1" applyFill="1" applyBorder="1" applyAlignment="1">
      <alignment horizontal="center"/>
    </xf>
    <xf numFmtId="0" fontId="4" fillId="6" borderId="10" xfId="27" applyFont="1" applyFill="1" applyBorder="1" applyAlignment="1">
      <alignment horizontal="center"/>
    </xf>
    <xf numFmtId="173" fontId="3" fillId="0" borderId="0" xfId="11" applyFont="1" applyAlignment="1">
      <alignment horizontal="center"/>
    </xf>
    <xf numFmtId="168" fontId="4" fillId="6" borderId="13" xfId="27" applyNumberFormat="1" applyFont="1" applyFill="1" applyBorder="1" applyAlignment="1">
      <alignment horizontal="center"/>
    </xf>
    <xf numFmtId="0" fontId="7" fillId="0" borderId="0" xfId="27" applyFont="1"/>
    <xf numFmtId="0" fontId="1" fillId="0" borderId="0" xfId="28"/>
  </cellXfs>
  <cellStyles count="39">
    <cellStyle name="Calc Currency (0)" xfId="1"/>
    <cellStyle name="Calc Currency (2)" xfId="2"/>
    <cellStyle name="Calc Percent (0)" xfId="3"/>
    <cellStyle name="Calc Percent (1)" xfId="4"/>
    <cellStyle name="Calc Percent (2)" xfId="5"/>
    <cellStyle name="Calc Units (0)" xfId="6"/>
    <cellStyle name="Calc Units (1)" xfId="7"/>
    <cellStyle name="Calc Units (2)" xfId="8"/>
    <cellStyle name="Comma" xfId="9" builtinId="3"/>
    <cellStyle name="Comma [00]" xfId="10"/>
    <cellStyle name="Comma_Avocado Whole Farm Model MDIA" xfId="11"/>
    <cellStyle name="Currency [00]" xfId="12"/>
    <cellStyle name="Date Short" xfId="13"/>
    <cellStyle name="Enter Currency (0)" xfId="14"/>
    <cellStyle name="Enter Currency (2)" xfId="15"/>
    <cellStyle name="Enter Units (0)" xfId="16"/>
    <cellStyle name="Enter Units (1)" xfId="17"/>
    <cellStyle name="Enter Units (2)" xfId="18"/>
    <cellStyle name="Header1" xfId="19"/>
    <cellStyle name="Header2" xfId="20"/>
    <cellStyle name="Link Currency (0)" xfId="21"/>
    <cellStyle name="Link Currency (2)" xfId="22"/>
    <cellStyle name="Link Units (0)" xfId="23"/>
    <cellStyle name="Link Units (1)" xfId="24"/>
    <cellStyle name="Link Units (2)" xfId="25"/>
    <cellStyle name="Normal" xfId="0" builtinId="0"/>
    <cellStyle name="Normal - Style1" xfId="26"/>
    <cellStyle name="Normal_Avocado Whole Farm Model MDIA" xfId="27"/>
    <cellStyle name="Normal_Mandarin GM" xfId="28"/>
    <cellStyle name="Percent [0]" xfId="29"/>
    <cellStyle name="Percent [00]" xfId="30"/>
    <cellStyle name="PrePop Currency (0)" xfId="31"/>
    <cellStyle name="PrePop Currency (2)" xfId="32"/>
    <cellStyle name="PrePop Units (0)" xfId="33"/>
    <cellStyle name="PrePop Units (1)" xfId="34"/>
    <cellStyle name="PrePop Units (2)" xfId="35"/>
    <cellStyle name="Text Indent A" xfId="36"/>
    <cellStyle name="Text Indent B" xfId="37"/>
    <cellStyle name="Text Indent C" xfId="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Times New Roman"/>
                <a:ea typeface="Times New Roman"/>
                <a:cs typeface="Times New Roman"/>
              </a:defRPr>
            </a:pPr>
            <a:r>
              <a:rPr lang="en-AU"/>
              <a:t>Breakdown of costs (NPV format)</a:t>
            </a:r>
          </a:p>
        </c:rich>
      </c:tx>
      <c:layout/>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Lbls>
            <c:numFmt formatCode="0%" sourceLinked="0"/>
            <c:spPr>
              <a:noFill/>
              <a:ln w="25400">
                <a:noFill/>
              </a:ln>
            </c:spPr>
            <c:txPr>
              <a:bodyPr/>
              <a:lstStyle/>
              <a:p>
                <a:pPr>
                  <a:defRPr sz="1200" b="0" i="0" u="none" strike="noStrike" baseline="0">
                    <a:solidFill>
                      <a:srgbClr val="000000"/>
                    </a:solidFill>
                    <a:latin typeface="Times New Roman"/>
                    <a:ea typeface="Times New Roman"/>
                    <a:cs typeface="Times New Roman"/>
                  </a:defRPr>
                </a:pPr>
                <a:endParaRPr lang="en-US"/>
              </a:p>
            </c:txPr>
            <c:dLblPos val="outEnd"/>
            <c:showLegendKey val="0"/>
            <c:showVal val="0"/>
            <c:showCatName val="0"/>
            <c:showSerName val="0"/>
            <c:showPercent val="1"/>
            <c:showBubbleSize val="0"/>
            <c:showLeaderLines val="0"/>
          </c:dLbls>
          <c:cat>
            <c:strRef>
              <c:f>Graphs!#REF!</c:f>
              <c:strCache>
                <c:ptCount val="14"/>
              </c:strCache>
            </c:strRef>
          </c:cat>
          <c:val>
            <c:numRef>
              <c:f>Graphs!#REF!</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dLbls>
          <c:showLegendKey val="0"/>
          <c:showVal val="0"/>
          <c:showCatName val="0"/>
          <c:showSerName val="0"/>
          <c:showPercent val="0"/>
          <c:showBubbleSize val="0"/>
          <c:showLeaderLines val="0"/>
        </c:dLbls>
        <c:firstSliceAng val="0"/>
      </c:pieChart>
      <c:spPr>
        <a:noFill/>
        <a:ln w="25400">
          <a:noFill/>
        </a:ln>
      </c:spPr>
    </c:plotArea>
    <c:legend>
      <c:legendPos val="r"/>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Times New Roman"/>
              <a:ea typeface="Times New Roman"/>
              <a:cs typeface="Times New Roman"/>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AU"/>
              <a:t>Discounted Cumulative Cashflow </a:t>
            </a:r>
          </a:p>
        </c:rich>
      </c:tx>
      <c:layout>
        <c:manualLayout>
          <c:xMode val="edge"/>
          <c:yMode val="edge"/>
          <c:x val="0.36363654717985427"/>
          <c:y val="3.0023094688221709E-2"/>
        </c:manualLayout>
      </c:layout>
      <c:overlay val="0"/>
      <c:spPr>
        <a:noFill/>
        <a:ln w="25400">
          <a:noFill/>
        </a:ln>
      </c:spPr>
    </c:title>
    <c:autoTitleDeleted val="0"/>
    <c:plotArea>
      <c:layout>
        <c:manualLayout>
          <c:layoutTarget val="inner"/>
          <c:xMode val="edge"/>
          <c:yMode val="edge"/>
          <c:x val="0.11538466463301422"/>
          <c:y val="0.1293303998836243"/>
          <c:w val="0.84178357607267196"/>
          <c:h val="0.7528876850368128"/>
        </c:manualLayout>
      </c:layout>
      <c:lineChart>
        <c:grouping val="standard"/>
        <c:varyColors val="0"/>
        <c:ser>
          <c:idx val="0"/>
          <c:order val="0"/>
          <c:tx>
            <c:strRef>
              <c:f>Graphs!$B$2</c:f>
              <c:strCache>
                <c:ptCount val="1"/>
                <c:pt idx="0">
                  <c:v>Discounted accumulative cash flow ($)</c:v>
                </c:pt>
              </c:strCache>
            </c:strRef>
          </c:tx>
          <c:spPr>
            <a:ln w="12700">
              <a:solidFill>
                <a:srgbClr val="003300"/>
              </a:solidFill>
              <a:prstDash val="solid"/>
            </a:ln>
          </c:spPr>
          <c:marker>
            <c:symbol val="circle"/>
            <c:size val="5"/>
            <c:spPr>
              <a:solidFill>
                <a:srgbClr val="99CC00"/>
              </a:solidFill>
              <a:ln>
                <a:solidFill>
                  <a:srgbClr val="003300"/>
                </a:solidFill>
                <a:prstDash val="solid"/>
              </a:ln>
            </c:spPr>
          </c:marker>
          <c:cat>
            <c:numRef>
              <c:f>Graphs!$A$3:$A$33</c:f>
              <c:numCache>
                <c:formatCode>General</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Graphs!$B$3:$B$33</c:f>
              <c:numCache>
                <c:formatCode>0</c:formatCode>
                <c:ptCount val="31"/>
                <c:pt idx="0">
                  <c:v>-403290</c:v>
                </c:pt>
                <c:pt idx="1">
                  <c:v>-453857.18005390838</c:v>
                </c:pt>
                <c:pt idx="2">
                  <c:v>-552533.37416970916</c:v>
                </c:pt>
                <c:pt idx="3">
                  <c:v>-607729.21126994048</c:v>
                </c:pt>
                <c:pt idx="4">
                  <c:v>-590946.54754130798</c:v>
                </c:pt>
                <c:pt idx="5">
                  <c:v>-561001.31705030671</c:v>
                </c:pt>
                <c:pt idx="6">
                  <c:v>-496125.23520898307</c:v>
                </c:pt>
                <c:pt idx="7">
                  <c:v>-433111.00557529571</c:v>
                </c:pt>
                <c:pt idx="8">
                  <c:v>-339382.97389181412</c:v>
                </c:pt>
                <c:pt idx="9">
                  <c:v>-257727.47762584197</c:v>
                </c:pt>
                <c:pt idx="10">
                  <c:v>-182172.06155696636</c:v>
                </c:pt>
                <c:pt idx="11">
                  <c:v>-109498.96057265512</c:v>
                </c:pt>
                <c:pt idx="12">
                  <c:v>-41237.61296031902</c:v>
                </c:pt>
                <c:pt idx="13">
                  <c:v>22972.349178270881</c:v>
                </c:pt>
                <c:pt idx="14">
                  <c:v>83990.086122452354</c:v>
                </c:pt>
                <c:pt idx="15">
                  <c:v>102602.29548031933</c:v>
                </c:pt>
                <c:pt idx="16">
                  <c:v>156278.03008442576</c:v>
                </c:pt>
                <c:pt idx="17">
                  <c:v>199488.22718805872</c:v>
                </c:pt>
                <c:pt idx="18">
                  <c:v>243090.34878642508</c:v>
                </c:pt>
                <c:pt idx="19">
                  <c:v>288355.83839725656</c:v>
                </c:pt>
                <c:pt idx="20">
                  <c:v>326918.36370989948</c:v>
                </c:pt>
                <c:pt idx="21">
                  <c:v>367498.6437217638</c:v>
                </c:pt>
                <c:pt idx="22">
                  <c:v>405504.42165491625</c:v>
                </c:pt>
                <c:pt idx="23">
                  <c:v>441620.72640025651</c:v>
                </c:pt>
                <c:pt idx="24">
                  <c:v>475544.52488006756</c:v>
                </c:pt>
                <c:pt idx="25">
                  <c:v>507454.90889938589</c:v>
                </c:pt>
                <c:pt idx="26">
                  <c:v>537778.85479544464</c:v>
                </c:pt>
                <c:pt idx="27">
                  <c:v>566386.35092380189</c:v>
                </c:pt>
                <c:pt idx="28">
                  <c:v>593061.54658953263</c:v>
                </c:pt>
                <c:pt idx="29">
                  <c:v>618522.11630149174</c:v>
                </c:pt>
                <c:pt idx="30">
                  <c:v>654375.78728812817</c:v>
                </c:pt>
              </c:numCache>
            </c:numRef>
          </c:val>
          <c:smooth val="0"/>
        </c:ser>
        <c:dLbls>
          <c:showLegendKey val="0"/>
          <c:showVal val="0"/>
          <c:showCatName val="0"/>
          <c:showSerName val="0"/>
          <c:showPercent val="0"/>
          <c:showBubbleSize val="0"/>
        </c:dLbls>
        <c:marker val="1"/>
        <c:smooth val="0"/>
        <c:axId val="297921536"/>
        <c:axId val="298329600"/>
      </c:lineChart>
      <c:catAx>
        <c:axId val="29792153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AU"/>
                  <a:t>Year</a:t>
                </a:r>
              </a:p>
            </c:rich>
          </c:tx>
          <c:layout>
            <c:manualLayout>
              <c:xMode val="edge"/>
              <c:yMode val="edge"/>
              <c:x val="0.51835682690013396"/>
              <c:y val="0.90762221696883727"/>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98329600"/>
        <c:crosses val="autoZero"/>
        <c:auto val="0"/>
        <c:lblAlgn val="ctr"/>
        <c:lblOffset val="100"/>
        <c:tickLblSkip val="1"/>
        <c:tickMarkSkip val="1"/>
        <c:noMultiLvlLbl val="0"/>
      </c:catAx>
      <c:valAx>
        <c:axId val="298329600"/>
        <c:scaling>
          <c:orientation val="minMax"/>
        </c:scaling>
        <c:delete val="0"/>
        <c:axPos val="l"/>
        <c:majorGridlines>
          <c:spPr>
            <a:ln w="12700">
              <a:solidFill>
                <a:srgbClr val="FFCC99"/>
              </a:solidFill>
              <a:prstDash val="solid"/>
            </a:ln>
          </c:spPr>
        </c:majorGridlines>
        <c:title>
          <c:tx>
            <c:rich>
              <a:bodyPr/>
              <a:lstStyle/>
              <a:p>
                <a:pPr>
                  <a:defRPr sz="1200" b="1" i="0" u="none" strike="noStrike" baseline="0">
                    <a:solidFill>
                      <a:srgbClr val="000000"/>
                    </a:solidFill>
                    <a:latin typeface="Arial"/>
                    <a:ea typeface="Arial"/>
                    <a:cs typeface="Arial"/>
                  </a:defRPr>
                </a:pPr>
                <a:r>
                  <a:rPr lang="en-AU"/>
                  <a:t>DCF ($)</a:t>
                </a:r>
              </a:p>
            </c:rich>
          </c:tx>
          <c:layout>
            <c:manualLayout>
              <c:xMode val="edge"/>
              <c:yMode val="edge"/>
              <c:x val="3.9335664335664336E-2"/>
              <c:y val="0.4341806234959659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97921536"/>
        <c:crosses val="autoZero"/>
        <c:crossBetween val="midCat"/>
      </c:valAx>
      <c:spPr>
        <a:solidFill>
          <a:srgbClr val="CCFFCC"/>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AU"/>
              <a:t>Breakdown of Costs ($ per Tray Equivalent)</a:t>
            </a:r>
          </a:p>
        </c:rich>
      </c:tx>
      <c:layout>
        <c:manualLayout>
          <c:xMode val="edge"/>
          <c:yMode val="edge"/>
          <c:x val="0.32198980363056712"/>
          <c:y val="3.2098765432098768E-2"/>
        </c:manualLayout>
      </c:layout>
      <c:overlay val="0"/>
      <c:spPr>
        <a:noFill/>
        <a:ln w="25400">
          <a:noFill/>
        </a:ln>
      </c:spPr>
    </c:title>
    <c:autoTitleDeleted val="0"/>
    <c:plotArea>
      <c:layout>
        <c:manualLayout>
          <c:layoutTarget val="inner"/>
          <c:xMode val="edge"/>
          <c:yMode val="edge"/>
          <c:x val="0.3080281856970114"/>
          <c:y val="0.23703760859762876"/>
          <c:w val="0.2286214862680368"/>
          <c:h val="0.64691514013102847"/>
        </c:manualLayout>
      </c:layout>
      <c:pieChart>
        <c:varyColors val="1"/>
        <c:ser>
          <c:idx val="0"/>
          <c:order val="0"/>
          <c:spPr>
            <a:solidFill>
              <a:srgbClr val="9999FF"/>
            </a:solidFill>
            <a:ln w="12700">
              <a:solidFill>
                <a:srgbClr val="000000"/>
              </a:solidFill>
              <a:prstDash val="solid"/>
            </a:ln>
          </c:spPr>
          <c:dPt>
            <c:idx val="0"/>
            <c:bubble3D val="0"/>
            <c:spPr>
              <a:solidFill>
                <a:srgbClr val="FFFF00"/>
              </a:solidFill>
              <a:ln w="12700">
                <a:solidFill>
                  <a:srgbClr val="000000"/>
                </a:solidFill>
                <a:prstDash val="solid"/>
              </a:ln>
            </c:spPr>
          </c:dPt>
          <c:dPt>
            <c:idx val="1"/>
            <c:bubble3D val="0"/>
            <c:spPr>
              <a:solidFill>
                <a:srgbClr val="FF0000"/>
              </a:solidFill>
              <a:ln w="12700">
                <a:solidFill>
                  <a:srgbClr val="000000"/>
                </a:solidFill>
                <a:prstDash val="solid"/>
              </a:ln>
            </c:spPr>
          </c:dPt>
          <c:dPt>
            <c:idx val="2"/>
            <c:bubble3D val="0"/>
            <c:spPr>
              <a:solidFill>
                <a:srgbClr val="00FFFF"/>
              </a:solidFill>
              <a:ln w="12700">
                <a:solidFill>
                  <a:srgbClr val="000000"/>
                </a:solidFill>
                <a:prstDash val="solid"/>
              </a:ln>
            </c:spPr>
          </c:dPt>
          <c:dPt>
            <c:idx val="3"/>
            <c:bubble3D val="0"/>
            <c:spPr>
              <a:solidFill>
                <a:srgbClr val="FF00FF"/>
              </a:solidFill>
              <a:ln w="12700">
                <a:solidFill>
                  <a:srgbClr val="000000"/>
                </a:solidFill>
                <a:prstDash val="solid"/>
              </a:ln>
            </c:spPr>
          </c:dPt>
          <c:dPt>
            <c:idx val="4"/>
            <c:bubble3D val="0"/>
            <c:spPr>
              <a:solidFill>
                <a:srgbClr val="800000"/>
              </a:solidFill>
              <a:ln w="12700">
                <a:solidFill>
                  <a:srgbClr val="000000"/>
                </a:solidFill>
                <a:prstDash val="solid"/>
              </a:ln>
            </c:spPr>
          </c:dPt>
          <c:dPt>
            <c:idx val="5"/>
            <c:bubble3D val="0"/>
            <c:spPr>
              <a:solidFill>
                <a:srgbClr val="808000"/>
              </a:solidFill>
              <a:ln w="12700">
                <a:solidFill>
                  <a:srgbClr val="000000"/>
                </a:solidFill>
                <a:prstDash val="solid"/>
              </a:ln>
            </c:spPr>
          </c:dPt>
          <c:dPt>
            <c:idx val="6"/>
            <c:bubble3D val="0"/>
            <c:spPr>
              <a:solidFill>
                <a:srgbClr val="C0C0C0"/>
              </a:solidFill>
              <a:ln w="12700">
                <a:solidFill>
                  <a:srgbClr val="000000"/>
                </a:solidFill>
                <a:prstDash val="solid"/>
              </a:ln>
            </c:spPr>
          </c:dPt>
          <c:dPt>
            <c:idx val="7"/>
            <c:bubble3D val="0"/>
            <c:spPr>
              <a:solidFill>
                <a:srgbClr val="333333"/>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008000"/>
              </a:solidFill>
              <a:ln w="12700">
                <a:solidFill>
                  <a:srgbClr val="000000"/>
                </a:solidFill>
                <a:prstDash val="solid"/>
              </a:ln>
            </c:spPr>
          </c:dPt>
          <c:dLbls>
            <c:dLbl>
              <c:idx val="1"/>
              <c:layout>
                <c:manualLayout>
                  <c:x val="6.4703587282066155E-3"/>
                  <c:y val="-5.4447135276200374E-3"/>
                </c:manualLayout>
              </c:layout>
              <c:dLblPos val="bestFit"/>
              <c:showLegendKey val="0"/>
              <c:showVal val="0"/>
              <c:showCatName val="0"/>
              <c:showSerName val="0"/>
              <c:showPercent val="1"/>
              <c:showBubbleSize val="0"/>
            </c:dLbl>
            <c:numFmt formatCode="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dLblPos val="outEnd"/>
            <c:showLegendKey val="0"/>
            <c:showVal val="0"/>
            <c:showCatName val="0"/>
            <c:showSerName val="0"/>
            <c:showPercent val="1"/>
            <c:showBubbleSize val="0"/>
            <c:showLeaderLines val="0"/>
          </c:dLbls>
          <c:cat>
            <c:strRef>
              <c:f>Graphs!$B$39:$K$39</c:f>
              <c:strCache>
                <c:ptCount val="10"/>
                <c:pt idx="0">
                  <c:v>Fuel &amp; oil</c:v>
                </c:pt>
                <c:pt idx="1">
                  <c:v>Pruning</c:v>
                </c:pt>
                <c:pt idx="2">
                  <c:v>Fertiliser</c:v>
                </c:pt>
                <c:pt idx="3">
                  <c:v>Herbicide/insecticide/fungicide</c:v>
                </c:pt>
                <c:pt idx="4">
                  <c:v>Irrigation</c:v>
                </c:pt>
                <c:pt idx="5">
                  <c:v>Harvesting &amp; marketing</c:v>
                </c:pt>
                <c:pt idx="6">
                  <c:v>Repairs &amp; maintenance</c:v>
                </c:pt>
                <c:pt idx="7">
                  <c:v>Administration</c:v>
                </c:pt>
                <c:pt idx="8">
                  <c:v>Owner's labour</c:v>
                </c:pt>
                <c:pt idx="9">
                  <c:v>Capital purchases</c:v>
                </c:pt>
              </c:strCache>
            </c:strRef>
          </c:cat>
          <c:val>
            <c:numRef>
              <c:f>Graphs!$B$40:$K$40</c:f>
              <c:numCache>
                <c:formatCode>"$"#,##0.00_);[Red]\("$"#,##0.00\)</c:formatCode>
                <c:ptCount val="10"/>
                <c:pt idx="0">
                  <c:v>8.4577961250467459E-2</c:v>
                </c:pt>
                <c:pt idx="1">
                  <c:v>0.46178571696730364</c:v>
                </c:pt>
                <c:pt idx="2">
                  <c:v>0.78428977132191258</c:v>
                </c:pt>
                <c:pt idx="3">
                  <c:v>0.29719077572099939</c:v>
                </c:pt>
                <c:pt idx="4">
                  <c:v>0.13785011276740861</c:v>
                </c:pt>
                <c:pt idx="5">
                  <c:v>6.3694312516934088</c:v>
                </c:pt>
                <c:pt idx="6">
                  <c:v>9.769213254400122E-2</c:v>
                </c:pt>
                <c:pt idx="7">
                  <c:v>0.47869144946560593</c:v>
                </c:pt>
                <c:pt idx="8">
                  <c:v>1.2655093261154096</c:v>
                </c:pt>
                <c:pt idx="9">
                  <c:v>1.9958547197112686</c:v>
                </c:pt>
              </c:numCache>
            </c:numRef>
          </c:val>
        </c:ser>
        <c:dLbls>
          <c:showLegendKey val="0"/>
          <c:showVal val="0"/>
          <c:showCatName val="0"/>
          <c:showSerName val="0"/>
          <c:showPercent val="0"/>
          <c:showBubbleSize val="0"/>
          <c:showLeaderLines val="0"/>
        </c:dLbls>
        <c:firstSliceAng val="0"/>
      </c:pieChart>
      <c:spPr>
        <a:noFill/>
        <a:ln w="25400">
          <a:noFill/>
        </a:ln>
      </c:spPr>
    </c:plotArea>
    <c:legend>
      <c:legendPos val="r"/>
      <c:layout>
        <c:manualLayout>
          <c:xMode val="edge"/>
          <c:yMode val="edge"/>
          <c:x val="0.68648688283626913"/>
          <c:y val="0.20751033197165938"/>
          <c:w val="0.25810825712938462"/>
          <c:h val="0.65810419568154821"/>
        </c:manualLayout>
      </c:layout>
      <c:overlay val="0"/>
      <c:spPr>
        <a:noFill/>
        <a:ln w="25400">
          <a:noFill/>
        </a:ln>
      </c:spPr>
      <c:txPr>
        <a:bodyPr/>
        <a:lstStyle/>
        <a:p>
          <a:pPr>
            <a:defRPr sz="101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trlProps/ctrlProp1.xml><?xml version="1.0" encoding="utf-8"?>
<formControlPr xmlns="http://schemas.microsoft.com/office/spreadsheetml/2009/9/main" objectType="Spin" dx="16" fmlaLink="$AG$1" max="10" min="5" page="10" val="6"/>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91440</xdr:rowOff>
    </xdr:from>
    <xdr:to>
      <xdr:col>13</xdr:col>
      <xdr:colOff>563880</xdr:colOff>
      <xdr:row>35</xdr:row>
      <xdr:rowOff>30480</xdr:rowOff>
    </xdr:to>
    <xdr:sp macro="" textlink="">
      <xdr:nvSpPr>
        <xdr:cNvPr id="1033" name="Text 1"/>
        <xdr:cNvSpPr txBox="1">
          <a:spLocks noChangeArrowheads="1"/>
        </xdr:cNvSpPr>
      </xdr:nvSpPr>
      <xdr:spPr bwMode="auto">
        <a:xfrm>
          <a:off x="76200" y="91440"/>
          <a:ext cx="8412480" cy="580644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457200</xdr:colOff>
      <xdr:row>29</xdr:row>
      <xdr:rowOff>160020</xdr:rowOff>
    </xdr:from>
    <xdr:to>
      <xdr:col>13</xdr:col>
      <xdr:colOff>373380</xdr:colOff>
      <xdr:row>31</xdr:row>
      <xdr:rowOff>99060</xdr:rowOff>
    </xdr:to>
    <xdr:sp macro="" textlink="">
      <xdr:nvSpPr>
        <xdr:cNvPr id="1034" name="Rectangle 2"/>
        <xdr:cNvSpPr>
          <a:spLocks noChangeArrowheads="1"/>
        </xdr:cNvSpPr>
      </xdr:nvSpPr>
      <xdr:spPr bwMode="auto">
        <a:xfrm>
          <a:off x="7162800" y="5021580"/>
          <a:ext cx="1135380" cy="27432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457200</xdr:colOff>
      <xdr:row>32</xdr:row>
      <xdr:rowOff>68580</xdr:rowOff>
    </xdr:from>
    <xdr:to>
      <xdr:col>13</xdr:col>
      <xdr:colOff>373380</xdr:colOff>
      <xdr:row>34</xdr:row>
      <xdr:rowOff>7620</xdr:rowOff>
    </xdr:to>
    <xdr:sp macro="" textlink="">
      <xdr:nvSpPr>
        <xdr:cNvPr id="1035" name="Rectangle 3"/>
        <xdr:cNvSpPr>
          <a:spLocks noChangeArrowheads="1"/>
        </xdr:cNvSpPr>
      </xdr:nvSpPr>
      <xdr:spPr bwMode="auto">
        <a:xfrm>
          <a:off x="7162800" y="5433060"/>
          <a:ext cx="1135380" cy="27432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114300</xdr:colOff>
      <xdr:row>29</xdr:row>
      <xdr:rowOff>160020</xdr:rowOff>
    </xdr:from>
    <xdr:to>
      <xdr:col>11</xdr:col>
      <xdr:colOff>447675</xdr:colOff>
      <xdr:row>31</xdr:row>
      <xdr:rowOff>76341</xdr:rowOff>
    </xdr:to>
    <xdr:sp macro="" textlink="">
      <xdr:nvSpPr>
        <xdr:cNvPr id="1028" name="Text 6"/>
        <xdr:cNvSpPr txBox="1">
          <a:spLocks noChangeArrowheads="1"/>
        </xdr:cNvSpPr>
      </xdr:nvSpPr>
      <xdr:spPr bwMode="auto">
        <a:xfrm>
          <a:off x="5600700" y="4848225"/>
          <a:ext cx="15525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ctr" rtl="0">
            <a:defRPr sz="1000"/>
          </a:pPr>
          <a:r>
            <a:rPr lang="en-AU" sz="1200" b="1" i="0" u="none" strike="noStrike" baseline="0">
              <a:solidFill>
                <a:srgbClr val="000000"/>
              </a:solidFill>
              <a:latin typeface="Arial"/>
              <a:cs typeface="Arial"/>
            </a:rPr>
            <a:t>Data Entry Cell</a:t>
          </a:r>
        </a:p>
      </xdr:txBody>
    </xdr:sp>
    <xdr:clientData/>
  </xdr:twoCellAnchor>
  <xdr:twoCellAnchor>
    <xdr:from>
      <xdr:col>9</xdr:col>
      <xdr:colOff>114300</xdr:colOff>
      <xdr:row>32</xdr:row>
      <xdr:rowOff>85725</xdr:rowOff>
    </xdr:from>
    <xdr:to>
      <xdr:col>11</xdr:col>
      <xdr:colOff>447675</xdr:colOff>
      <xdr:row>34</xdr:row>
      <xdr:rowOff>9525</xdr:rowOff>
    </xdr:to>
    <xdr:sp macro="" textlink="">
      <xdr:nvSpPr>
        <xdr:cNvPr id="1029" name="Text 7"/>
        <xdr:cNvSpPr txBox="1">
          <a:spLocks noChangeArrowheads="1"/>
        </xdr:cNvSpPr>
      </xdr:nvSpPr>
      <xdr:spPr bwMode="auto">
        <a:xfrm>
          <a:off x="5600700" y="5267325"/>
          <a:ext cx="15525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ctr" rtl="0">
            <a:defRPr sz="1000"/>
          </a:pPr>
          <a:r>
            <a:rPr lang="en-AU" sz="1200" b="1" i="0" u="none" strike="noStrike" baseline="0">
              <a:solidFill>
                <a:srgbClr val="000000"/>
              </a:solidFill>
              <a:latin typeface="Arial"/>
              <a:cs typeface="Arial"/>
            </a:rPr>
            <a:t>Protected Cell</a:t>
          </a:r>
        </a:p>
      </xdr:txBody>
    </xdr:sp>
    <xdr:clientData/>
  </xdr:twoCellAnchor>
  <xdr:twoCellAnchor>
    <xdr:from>
      <xdr:col>0</xdr:col>
      <xdr:colOff>228600</xdr:colOff>
      <xdr:row>29</xdr:row>
      <xdr:rowOff>85725</xdr:rowOff>
    </xdr:from>
    <xdr:to>
      <xdr:col>6</xdr:col>
      <xdr:colOff>561975</xdr:colOff>
      <xdr:row>34</xdr:row>
      <xdr:rowOff>150548</xdr:rowOff>
    </xdr:to>
    <xdr:sp macro="" textlink="">
      <xdr:nvSpPr>
        <xdr:cNvPr id="1030" name="Text 8"/>
        <xdr:cNvSpPr txBox="1">
          <a:spLocks noChangeArrowheads="1"/>
        </xdr:cNvSpPr>
      </xdr:nvSpPr>
      <xdr:spPr bwMode="auto">
        <a:xfrm>
          <a:off x="228600" y="4781550"/>
          <a:ext cx="3990975"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en-AU" sz="1200" b="1" i="0" u="none" strike="noStrike" baseline="0">
              <a:solidFill>
                <a:srgbClr val="000000"/>
              </a:solidFill>
              <a:latin typeface="Arial"/>
              <a:cs typeface="Arial"/>
            </a:rPr>
            <a:t>Compiled by Andrew Hinton for the Choices Information Series (Edited by Bill Johnston)</a:t>
          </a:r>
        </a:p>
        <a:p>
          <a:pPr algn="l" rtl="0">
            <a:defRPr sz="1000"/>
          </a:pPr>
          <a:endParaRPr lang="en-AU" sz="1200" b="1" i="0" u="none" strike="noStrike" baseline="0">
            <a:solidFill>
              <a:srgbClr val="000000"/>
            </a:solidFill>
            <a:latin typeface="Arial"/>
            <a:cs typeface="Arial"/>
          </a:endParaRPr>
        </a:p>
        <a:p>
          <a:pPr algn="l" rtl="0">
            <a:defRPr sz="1000"/>
          </a:pPr>
          <a:r>
            <a:rPr lang="en-AU" sz="1200" b="1" i="0" u="none" strike="noStrike" baseline="0">
              <a:solidFill>
                <a:srgbClr val="000000"/>
              </a:solidFill>
              <a:latin typeface="Arial"/>
              <a:cs typeface="Arial"/>
            </a:rPr>
            <a:t>Last Updated in 1999</a:t>
          </a:r>
        </a:p>
      </xdr:txBody>
    </xdr:sp>
    <xdr:clientData/>
  </xdr:twoCellAnchor>
  <xdr:twoCellAnchor>
    <xdr:from>
      <xdr:col>0</xdr:col>
      <xdr:colOff>228600</xdr:colOff>
      <xdr:row>2</xdr:row>
      <xdr:rowOff>104775</xdr:rowOff>
    </xdr:from>
    <xdr:to>
      <xdr:col>13</xdr:col>
      <xdr:colOff>381000</xdr:colOff>
      <xdr:row>14</xdr:row>
      <xdr:rowOff>123825</xdr:rowOff>
    </xdr:to>
    <xdr:sp macro="" textlink="">
      <xdr:nvSpPr>
        <xdr:cNvPr id="1031" name="WordArt 7"/>
        <xdr:cNvSpPr>
          <a:spLocks noChangeArrowheads="1" noChangeShapeType="1" noTextEdit="1"/>
        </xdr:cNvSpPr>
      </xdr:nvSpPr>
      <xdr:spPr bwMode="auto">
        <a:xfrm>
          <a:off x="228600" y="428625"/>
          <a:ext cx="8077200" cy="1962150"/>
        </a:xfrm>
        <a:prstGeom prst="rect">
          <a:avLst/>
        </a:prstGeom>
      </xdr:spPr>
      <xdr:txBody>
        <a:bodyPr wrap="none" fromWordArt="1">
          <a:prstTxWarp prst="textPlain">
            <a:avLst>
              <a:gd name="adj" fmla="val 50000"/>
            </a:avLst>
          </a:prstTxWarp>
        </a:bodyPr>
        <a:lstStyle/>
        <a:p>
          <a:pPr algn="ctr" rtl="0">
            <a:buNone/>
          </a:pPr>
          <a:r>
            <a:rPr lang="en-AU" sz="3600" kern="10" spc="0">
              <a:ln w="9525">
                <a:solidFill>
                  <a:srgbClr xmlns:mc="http://schemas.openxmlformats.org/markup-compatibility/2006" xmlns:a14="http://schemas.microsoft.com/office/drawing/2010/main" val="003300" mc:Ignorable="a14" a14:legacySpreadsheetColorIndex="58"/>
                </a:solidFill>
                <a:round/>
                <a:headEnd/>
                <a:tailEnd/>
              </a:ln>
              <a:solidFill>
                <a:srgbClr xmlns:mc="http://schemas.openxmlformats.org/markup-compatibility/2006" xmlns:a14="http://schemas.microsoft.com/office/drawing/2010/main" val="008000" mc:Ignorable="a14" a14:legacySpreadsheetColorIndex="17"/>
              </a:solidFill>
              <a:effectLst>
                <a:outerShdw dist="35921" dir="2700000" algn="ctr" rotWithShape="0">
                  <a:srgbClr val="C0C0C0">
                    <a:alpha val="80000"/>
                  </a:srgbClr>
                </a:outerShdw>
              </a:effectLst>
              <a:latin typeface="Impact"/>
            </a:rPr>
            <a:t>Avocado (Shepard) Farm Model</a:t>
          </a:r>
        </a:p>
        <a:p>
          <a:pPr algn="ctr" rtl="0">
            <a:buNone/>
          </a:pPr>
          <a:r>
            <a:rPr lang="en-AU" sz="3600" kern="10" spc="0">
              <a:ln w="9525">
                <a:solidFill>
                  <a:srgbClr xmlns:mc="http://schemas.openxmlformats.org/markup-compatibility/2006" xmlns:a14="http://schemas.microsoft.com/office/drawing/2010/main" val="003300" mc:Ignorable="a14" a14:legacySpreadsheetColorIndex="58"/>
                </a:solidFill>
                <a:round/>
                <a:headEnd/>
                <a:tailEnd/>
              </a:ln>
              <a:solidFill>
                <a:srgbClr xmlns:mc="http://schemas.openxmlformats.org/markup-compatibility/2006" xmlns:a14="http://schemas.microsoft.com/office/drawing/2010/main" val="008000" mc:Ignorable="a14" a14:legacySpreadsheetColorIndex="17"/>
              </a:solidFill>
              <a:effectLst>
                <a:outerShdw dist="35921" dir="2700000" algn="ctr" rotWithShape="0">
                  <a:srgbClr val="C0C0C0">
                    <a:alpha val="80000"/>
                  </a:srgbClr>
                </a:outerShdw>
              </a:effectLst>
              <a:latin typeface="Impact"/>
            </a:rPr>
            <a:t>MDIA</a:t>
          </a:r>
        </a:p>
      </xdr:txBody>
    </xdr:sp>
    <xdr:clientData/>
  </xdr:twoCellAnchor>
  <xdr:twoCellAnchor>
    <xdr:from>
      <xdr:col>5</xdr:col>
      <xdr:colOff>368300</xdr:colOff>
      <xdr:row>15</xdr:row>
      <xdr:rowOff>101600</xdr:rowOff>
    </xdr:from>
    <xdr:to>
      <xdr:col>8</xdr:col>
      <xdr:colOff>282575</xdr:colOff>
      <xdr:row>20</xdr:row>
      <xdr:rowOff>123825</xdr:rowOff>
    </xdr:to>
    <xdr:sp macro="" textlink="">
      <xdr:nvSpPr>
        <xdr:cNvPr id="10" name="TextBox 9"/>
        <xdr:cNvSpPr txBox="1"/>
      </xdr:nvSpPr>
      <xdr:spPr>
        <a:xfrm>
          <a:off x="3416300" y="2578100"/>
          <a:ext cx="1743075" cy="847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The data provided here is an example only</a:t>
          </a:r>
          <a:r>
            <a:rPr lang="en-AU" sz="1100" baseline="0"/>
            <a:t> and should be revised to reflect your particular situation.</a:t>
          </a:r>
          <a:endParaRPr lang="en-AU" sz="1100"/>
        </a:p>
      </xdr:txBody>
    </xdr:sp>
    <xdr:clientData/>
  </xdr:twoCellAnchor>
  <xdr:twoCellAnchor editAs="oneCell">
    <xdr:from>
      <xdr:col>5</xdr:col>
      <xdr:colOff>601980</xdr:colOff>
      <xdr:row>21</xdr:row>
      <xdr:rowOff>68580</xdr:rowOff>
    </xdr:from>
    <xdr:to>
      <xdr:col>8</xdr:col>
      <xdr:colOff>83820</xdr:colOff>
      <xdr:row>30</xdr:row>
      <xdr:rowOff>45720</xdr:rowOff>
    </xdr:to>
    <xdr:pic>
      <xdr:nvPicPr>
        <xdr:cNvPr id="1041"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49980" y="3589020"/>
          <a:ext cx="1310640" cy="1485900"/>
        </a:xfrm>
        <a:prstGeom prst="rect">
          <a:avLst/>
        </a:prstGeom>
        <a:noFill/>
        <a:ln w="9525">
          <a:solidFill>
            <a:srgbClr val="4A452A"/>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190500</xdr:colOff>
          <xdr:row>3</xdr:row>
          <xdr:rowOff>0</xdr:rowOff>
        </xdr:from>
        <xdr:to>
          <xdr:col>11</xdr:col>
          <xdr:colOff>701040</xdr:colOff>
          <xdr:row>12</xdr:row>
          <xdr:rowOff>91440</xdr:rowOff>
        </xdr:to>
        <xdr:sp macro="" textlink="">
          <xdr:nvSpPr>
            <xdr:cNvPr id="28673" name="Object 1" hidden="1">
              <a:extLst>
                <a:ext uri="{63B3BB69-23CF-44E3-9099-C40C66FF867C}">
                  <a14:compatExt spid="_x0000_s2867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47625</xdr:rowOff>
    </xdr:from>
    <xdr:to>
      <xdr:col>16</xdr:col>
      <xdr:colOff>596265</xdr:colOff>
      <xdr:row>116</xdr:row>
      <xdr:rowOff>28575</xdr:rowOff>
    </xdr:to>
    <xdr:sp macro="" textlink="">
      <xdr:nvSpPr>
        <xdr:cNvPr id="27649" name="Text Box 1"/>
        <xdr:cNvSpPr txBox="1">
          <a:spLocks noChangeArrowheads="1"/>
        </xdr:cNvSpPr>
      </xdr:nvSpPr>
      <xdr:spPr bwMode="auto">
        <a:xfrm>
          <a:off x="47625" y="47625"/>
          <a:ext cx="10287000" cy="1876425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AU" sz="1000" b="1" i="0" u="sng" strike="noStrike" baseline="0">
              <a:solidFill>
                <a:srgbClr val="000000"/>
              </a:solidFill>
              <a:latin typeface="Arial"/>
              <a:cs typeface="Arial"/>
            </a:rPr>
            <a:t>1. Introduction</a:t>
          </a: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This gross margin(s) aims to assist farmers to make more informed production and business decisions. By using the gross margin guideline, to understand what it costs to grow and sell an agricultural product, a farmer may be better able to identify areas within his/her business where the margins can be improved. It should be emphasised that this template is only a guide and should be adapted to the individual’s situation. Every farmer has different soil types, costs &amp; returns, application rates, and so forth. It should be used as a framework to determine your own costs of production and crop selection. Further information and technical assistance is available from local DPI&amp;F officers in your area.</a:t>
          </a:r>
        </a:p>
        <a:p>
          <a:pPr algn="l" rtl="0">
            <a:defRPr sz="1000"/>
          </a:pPr>
          <a:endParaRPr lang="en-AU" sz="1000" b="0" i="0" u="none" strike="noStrike" baseline="0">
            <a:solidFill>
              <a:srgbClr val="000000"/>
            </a:solidFill>
            <a:latin typeface="Arial"/>
            <a:cs typeface="Arial"/>
          </a:endParaRPr>
        </a:p>
        <a:p>
          <a:pPr algn="l" rtl="0">
            <a:defRPr sz="1000"/>
          </a:pPr>
          <a:r>
            <a:rPr lang="en-AU" sz="1000" b="1" i="0" u="sng" strike="noStrike" baseline="0">
              <a:solidFill>
                <a:srgbClr val="000000"/>
              </a:solidFill>
              <a:latin typeface="Arial"/>
              <a:cs typeface="Arial"/>
            </a:rPr>
            <a:t>2. What is a Gross Margin?</a:t>
          </a: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The Gross Margin (GM) is a financial yardstick used for comparing alternative farm enterprises. The GM is calculated by subtracting all variable costs directly incurred by the enterprise from the gross income received for the sale of the produce. Variable costs include land preparation, fertiliser, planting, seed, chemicals, casual labour, picking, packaging, freight, and selling expenses. Gross income is that received before any agents commission, levies, freight or other selling costs are subtracted. A Gross Margin is not a measure of farm profit as it does not take into account fixed costs of the enterprise. These include rates, operators labour, insurance, interest, depreciation, administration, and so forth. You may consider the Gross Margin as a contribution towards farm overheads (fixed costs). Gross margins for different cropping enterprises can only be compared if they use the same land, permanent labour, and machinery resources. If this is not the case a more detailed analysis is required.</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The Gross Margin is expressed in several ways; per hectare, per carton, or per tonne. Expressing the GM as $ per Megalitre can also be useful as water can be a limiting factor of production. The basic calculation of a Gross Margin is as follows:</a:t>
          </a:r>
        </a:p>
        <a:p>
          <a:pPr algn="l" rtl="0">
            <a:defRPr sz="1000"/>
          </a:pPr>
          <a:endParaRPr lang="en-AU" sz="1000" b="0" i="0" u="none" strike="noStrike" baseline="0">
            <a:solidFill>
              <a:srgbClr val="000000"/>
            </a:solidFill>
            <a:latin typeface="Arial"/>
            <a:cs typeface="Arial"/>
          </a:endParaRPr>
        </a:p>
        <a:p>
          <a:pPr algn="l" rtl="0">
            <a:defRPr sz="1000"/>
          </a:pPr>
          <a:r>
            <a:rPr lang="en-AU" sz="1000" b="1" i="0" u="none" strike="noStrike" baseline="0">
              <a:solidFill>
                <a:srgbClr val="000000"/>
              </a:solidFill>
              <a:latin typeface="Arial"/>
              <a:cs typeface="Arial"/>
            </a:rPr>
            <a:t>GROSS INCOME (Price x Yield)</a:t>
          </a:r>
        </a:p>
        <a:p>
          <a:pPr algn="l" rtl="0">
            <a:defRPr sz="1000"/>
          </a:pPr>
          <a:endParaRPr lang="en-AU" sz="1000" b="1" i="0" u="none" strike="noStrike" baseline="0">
            <a:solidFill>
              <a:srgbClr val="000000"/>
            </a:solidFill>
            <a:latin typeface="Arial"/>
            <a:cs typeface="Arial"/>
          </a:endParaRPr>
        </a:p>
        <a:p>
          <a:pPr algn="l" rtl="0">
            <a:defRPr sz="1000"/>
          </a:pPr>
          <a:r>
            <a:rPr lang="en-AU" sz="1000" b="1" i="0" u="none" strike="noStrike" baseline="0">
              <a:solidFill>
                <a:srgbClr val="000000"/>
              </a:solidFill>
              <a:latin typeface="Arial"/>
              <a:cs typeface="Arial"/>
            </a:rPr>
            <a:t>Less:       TOTAL GROWING COSTS </a:t>
          </a:r>
        </a:p>
        <a:p>
          <a:pPr algn="l" rtl="0">
            <a:defRPr sz="1000"/>
          </a:pPr>
          <a:r>
            <a:rPr lang="en-AU" sz="1000" b="1" i="0" u="none" strike="noStrike" baseline="0">
              <a:solidFill>
                <a:srgbClr val="000000"/>
              </a:solidFill>
              <a:latin typeface="Arial"/>
              <a:cs typeface="Arial"/>
            </a:rPr>
            <a:t>               HARVESTING COSTS</a:t>
          </a:r>
        </a:p>
        <a:p>
          <a:pPr algn="l" rtl="0">
            <a:defRPr sz="1000"/>
          </a:pPr>
          <a:r>
            <a:rPr lang="en-AU" sz="1000" b="1" i="0" u="none" strike="noStrike" baseline="0">
              <a:solidFill>
                <a:srgbClr val="000000"/>
              </a:solidFill>
              <a:latin typeface="Arial"/>
              <a:cs typeface="Arial"/>
            </a:rPr>
            <a:t>               PACKING AND PACKAGING COSTS</a:t>
          </a:r>
        </a:p>
        <a:p>
          <a:pPr algn="l" rtl="0">
            <a:defRPr sz="1000"/>
          </a:pPr>
          <a:r>
            <a:rPr lang="en-AU" sz="1000" b="1" i="0" u="none" strike="noStrike" baseline="0">
              <a:solidFill>
                <a:srgbClr val="000000"/>
              </a:solidFill>
              <a:latin typeface="Arial"/>
              <a:cs typeface="Arial"/>
            </a:rPr>
            <a:t>               FREIGHT COSTS</a:t>
          </a:r>
        </a:p>
        <a:p>
          <a:pPr algn="l" rtl="0">
            <a:defRPr sz="1000"/>
          </a:pPr>
          <a:r>
            <a:rPr lang="en-AU" sz="1000" b="1" i="0" u="none" strike="noStrike" baseline="0">
              <a:solidFill>
                <a:srgbClr val="000000"/>
              </a:solidFill>
              <a:latin typeface="Arial"/>
              <a:cs typeface="Arial"/>
            </a:rPr>
            <a:t>               MARKETING COSTS</a:t>
          </a: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Gross Margins can also be very useful in the following situations:</a:t>
          </a:r>
        </a:p>
        <a:p>
          <a:pPr algn="l" rtl="0">
            <a:defRPr sz="1000"/>
          </a:pPr>
          <a:r>
            <a:rPr lang="en-AU" sz="1000" b="0" i="0" u="none" strike="noStrike" baseline="0">
              <a:solidFill>
                <a:srgbClr val="000000"/>
              </a:solidFill>
              <a:latin typeface="Arial"/>
              <a:cs typeface="Arial"/>
            </a:rPr>
            <a:t>• Selecting the most desirable (profitable, time efficient, water efficient, etc.) cropping enterprise or rotation.</a:t>
          </a:r>
        </a:p>
        <a:p>
          <a:pPr algn="l" rtl="0">
            <a:defRPr sz="1000"/>
          </a:pPr>
          <a:r>
            <a:rPr lang="en-AU" sz="1000" b="0" i="0" u="none" strike="noStrike" baseline="0">
              <a:solidFill>
                <a:srgbClr val="000000"/>
              </a:solidFill>
              <a:latin typeface="Arial"/>
              <a:cs typeface="Arial"/>
            </a:rPr>
            <a:t>• Comparing different farming methods  eg. seed v. speedling, or trickle v. flood irrigation.</a:t>
          </a:r>
        </a:p>
        <a:p>
          <a:pPr algn="l" rtl="0">
            <a:defRPr sz="1000"/>
          </a:pPr>
          <a:r>
            <a:rPr lang="en-AU" sz="1000" b="0" i="0" u="none" strike="noStrike" baseline="0">
              <a:solidFill>
                <a:srgbClr val="000000"/>
              </a:solidFill>
              <a:latin typeface="Arial"/>
              <a:cs typeface="Arial"/>
            </a:rPr>
            <a:t>• Preparing cash-flow budgets.</a:t>
          </a:r>
        </a:p>
        <a:p>
          <a:pPr algn="l" rtl="0">
            <a:defRPr sz="1000"/>
          </a:pPr>
          <a:r>
            <a:rPr lang="en-AU" sz="1000" b="0" i="0" u="none" strike="noStrike" baseline="0">
              <a:solidFill>
                <a:srgbClr val="000000"/>
              </a:solidFill>
              <a:latin typeface="Arial"/>
              <a:cs typeface="Arial"/>
            </a:rPr>
            <a:t>• Estimating farm profit and loss.</a:t>
          </a:r>
        </a:p>
        <a:p>
          <a:pPr algn="l" rtl="0">
            <a:defRPr sz="1000"/>
          </a:pPr>
          <a:r>
            <a:rPr lang="en-AU" sz="1000" b="0" i="0" u="none" strike="noStrike" baseline="0">
              <a:solidFill>
                <a:srgbClr val="000000"/>
              </a:solidFill>
              <a:latin typeface="Arial"/>
              <a:cs typeface="Arial"/>
            </a:rPr>
            <a:t>• Calculating costs of production.</a:t>
          </a:r>
        </a:p>
        <a:p>
          <a:pPr algn="l" rtl="0">
            <a:defRPr sz="1000"/>
          </a:pPr>
          <a:r>
            <a:rPr lang="en-AU" sz="1000" b="0" i="0" u="none" strike="noStrike" baseline="0">
              <a:solidFill>
                <a:srgbClr val="000000"/>
              </a:solidFill>
              <a:latin typeface="Arial"/>
              <a:cs typeface="Arial"/>
            </a:rPr>
            <a:t>• Assisting with investment decisions (which enterprise? on or off farm?)</a:t>
          </a:r>
        </a:p>
        <a:p>
          <a:pPr algn="l" rtl="0">
            <a:defRPr sz="1000"/>
          </a:pPr>
          <a:endParaRPr lang="en-AU" sz="1000" b="0" i="0" u="none" strike="noStrike" baseline="0">
            <a:solidFill>
              <a:srgbClr val="000000"/>
            </a:solidFill>
            <a:latin typeface="Arial"/>
            <a:cs typeface="Arial"/>
          </a:endParaRPr>
        </a:p>
        <a:p>
          <a:pPr algn="l" rtl="0">
            <a:defRPr sz="1000"/>
          </a:pPr>
          <a:r>
            <a:rPr lang="en-AU" sz="1000" b="1" i="0" u="sng" strike="noStrike" baseline="0">
              <a:solidFill>
                <a:srgbClr val="000000"/>
              </a:solidFill>
              <a:latin typeface="Arial"/>
              <a:cs typeface="Arial"/>
            </a:rPr>
            <a:t>3. Assumptions</a:t>
          </a: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This Gross Margins is based on the following assumptions:</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 Fixed or overhead costs are not included.</a:t>
          </a:r>
        </a:p>
        <a:p>
          <a:pPr algn="l" rtl="0">
            <a:defRPr sz="1000"/>
          </a:pPr>
          <a:r>
            <a:rPr lang="en-AU" sz="1000" b="0" i="0" u="none" strike="noStrike" baseline="0">
              <a:solidFill>
                <a:srgbClr val="000000"/>
              </a:solidFill>
              <a:latin typeface="Arial"/>
              <a:cs typeface="Arial"/>
            </a:rPr>
            <a:t>• Owner’s labour is not included.</a:t>
          </a:r>
        </a:p>
        <a:p>
          <a:pPr algn="l" rtl="0">
            <a:defRPr sz="1000"/>
          </a:pPr>
          <a:r>
            <a:rPr lang="en-AU" sz="1000" b="0" i="0" u="none" strike="noStrike" baseline="0">
              <a:solidFill>
                <a:srgbClr val="000000"/>
              </a:solidFill>
              <a:latin typeface="Arial"/>
              <a:cs typeface="Arial"/>
            </a:rPr>
            <a:t>• Casual labour is included, but the hours per hectare that are included can vary widely.</a:t>
          </a:r>
        </a:p>
        <a:p>
          <a:pPr algn="l" rtl="0">
            <a:defRPr sz="1000"/>
          </a:pPr>
          <a:r>
            <a:rPr lang="en-AU" sz="1000" b="0" i="0" u="none" strike="noStrike" baseline="0">
              <a:solidFill>
                <a:srgbClr val="000000"/>
              </a:solidFill>
              <a:latin typeface="Arial"/>
              <a:cs typeface="Arial"/>
            </a:rPr>
            <a:t>• Yields are based on the average for fertilisers, water and chemical inputs.</a:t>
          </a:r>
        </a:p>
        <a:p>
          <a:pPr algn="l" rtl="0">
            <a:defRPr sz="1000"/>
          </a:pPr>
          <a:r>
            <a:rPr lang="en-AU" sz="1000" b="0" i="0" u="none" strike="noStrike" baseline="0">
              <a:solidFill>
                <a:srgbClr val="000000"/>
              </a:solidFill>
              <a:latin typeface="Arial"/>
              <a:cs typeface="Arial"/>
            </a:rPr>
            <a:t>• Machinery operations are costed for a range of tractors that are required to carry out each particular operation. For example,</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               </a:t>
          </a:r>
          <a:r>
            <a:rPr lang="en-AU" sz="1000" b="1" i="0" u="none" strike="noStrike" baseline="0">
              <a:solidFill>
                <a:srgbClr val="000000"/>
              </a:solidFill>
              <a:latin typeface="Arial"/>
              <a:cs typeface="Arial"/>
            </a:rPr>
            <a:t>Discing</a:t>
          </a:r>
          <a:r>
            <a:rPr lang="en-AU" sz="1000" b="0" i="0" u="none" strike="noStrike" baseline="0">
              <a:solidFill>
                <a:srgbClr val="000000"/>
              </a:solidFill>
              <a:latin typeface="Arial"/>
              <a:cs typeface="Arial"/>
            </a:rPr>
            <a:t> - Requires a 100hp Tractor that uses 22.28L/hour and takes approximately 2.5 hours to disc 1 hectare. Therefore,</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                              Fuel Cost per hour - $10.03 (Assuming cost of fuel is 45c/L)</a:t>
          </a:r>
        </a:p>
        <a:p>
          <a:pPr algn="l" rtl="0">
            <a:defRPr sz="1000"/>
          </a:pPr>
          <a:r>
            <a:rPr lang="en-AU" sz="1000" b="0" i="0" u="none" strike="noStrike" baseline="0">
              <a:solidFill>
                <a:srgbClr val="000000"/>
              </a:solidFill>
              <a:latin typeface="Arial"/>
              <a:cs typeface="Arial"/>
            </a:rPr>
            <a:t>                              Oil Cost per hour   - $1.50   (15% of fuel cost)</a:t>
          </a:r>
        </a:p>
        <a:p>
          <a:pPr algn="l" rtl="0">
            <a:defRPr sz="1000"/>
          </a:pPr>
          <a:r>
            <a:rPr lang="en-AU" sz="1000" b="0" i="0" u="none" strike="noStrike" baseline="0">
              <a:solidFill>
                <a:srgbClr val="000000"/>
              </a:solidFill>
              <a:latin typeface="Arial"/>
              <a:cs typeface="Arial"/>
            </a:rPr>
            <a:t>                              Repair and Maintenance per hour - $4.00</a:t>
          </a:r>
        </a:p>
        <a:p>
          <a:pPr algn="l" rtl="0">
            <a:defRPr sz="1000"/>
          </a:pPr>
          <a:r>
            <a:rPr lang="en-AU" sz="1000" b="0" i="0" u="none" strike="noStrike" baseline="0">
              <a:solidFill>
                <a:srgbClr val="000000"/>
              </a:solidFill>
              <a:latin typeface="Arial"/>
              <a:cs typeface="Arial"/>
            </a:rPr>
            <a:t>                              Total Cost per Hectare (x 2.5 hours) - </a:t>
          </a:r>
          <a:r>
            <a:rPr lang="en-AU" sz="1000" b="1" i="0" u="none" strike="noStrike" baseline="0">
              <a:solidFill>
                <a:srgbClr val="000000"/>
              </a:solidFill>
              <a:latin typeface="Arial"/>
              <a:cs typeface="Arial"/>
            </a:rPr>
            <a:t>$38.82</a:t>
          </a: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All machinery operations include fuel, oil, repairs and maintenance (F.O.R.M.). This process is followed for all machinery operation costing. The fixed costs of ownership such as registration, insurance, interest, and depreciation are not included.</a:t>
          </a:r>
        </a:p>
        <a:p>
          <a:pPr algn="l" rtl="0">
            <a:defRPr sz="1000"/>
          </a:pPr>
          <a:r>
            <a:rPr lang="en-AU" sz="1000" b="0" i="0" u="none" strike="noStrike" baseline="0">
              <a:solidFill>
                <a:srgbClr val="000000"/>
              </a:solidFill>
              <a:latin typeface="Arial"/>
              <a:cs typeface="Arial"/>
            </a:rPr>
            <a:t>  </a:t>
          </a:r>
        </a:p>
        <a:p>
          <a:pPr algn="l" rtl="0">
            <a:defRPr sz="1000"/>
          </a:pPr>
          <a:r>
            <a:rPr lang="en-AU" sz="1000" b="0" i="0" u="none" strike="noStrike" baseline="0">
              <a:solidFill>
                <a:srgbClr val="000000"/>
              </a:solidFill>
              <a:latin typeface="Arial"/>
              <a:cs typeface="Arial"/>
            </a:rPr>
            <a:t>• Fertiliser and crop protection costs are envisaged to be ‘typical’ for the region in the average season to produce average yield and quality.</a:t>
          </a:r>
        </a:p>
        <a:p>
          <a:pPr algn="l" rtl="0">
            <a:defRPr sz="1000"/>
          </a:pPr>
          <a:r>
            <a:rPr lang="en-AU" sz="1000" b="0" i="0" u="none" strike="noStrike" baseline="0">
              <a:solidFill>
                <a:srgbClr val="000000"/>
              </a:solidFill>
              <a:latin typeface="Arial"/>
              <a:cs typeface="Arial"/>
            </a:rPr>
            <a:t>• Crops grown with irrigation have been costed accordingly where this is seen to be the most common practice.</a:t>
          </a:r>
        </a:p>
        <a:p>
          <a:pPr algn="l" rtl="0">
            <a:defRPr sz="1000"/>
          </a:pPr>
          <a:r>
            <a:rPr lang="en-AU" sz="1000" b="0" i="0" u="none" strike="noStrike" baseline="0">
              <a:solidFill>
                <a:srgbClr val="000000"/>
              </a:solidFill>
              <a:latin typeface="Arial"/>
              <a:cs typeface="Arial"/>
            </a:rPr>
            <a:t>• Input costs are based on retail prices at the time of preparation.</a:t>
          </a:r>
        </a:p>
        <a:p>
          <a:pPr algn="l" rtl="0">
            <a:defRPr sz="1000"/>
          </a:pPr>
          <a:endParaRPr lang="en-AU" sz="1000" b="0" i="0" u="none" strike="noStrike" baseline="0">
            <a:solidFill>
              <a:srgbClr val="000000"/>
            </a:solidFill>
            <a:latin typeface="Arial"/>
            <a:cs typeface="Arial"/>
          </a:endParaRPr>
        </a:p>
        <a:p>
          <a:pPr algn="l" rtl="0">
            <a:defRPr sz="1000"/>
          </a:pPr>
          <a:r>
            <a:rPr lang="en-AU" sz="1000" b="1" i="0" u="sng" strike="noStrike" baseline="0">
              <a:solidFill>
                <a:srgbClr val="000000"/>
              </a:solidFill>
              <a:latin typeface="Arial"/>
              <a:cs typeface="Arial"/>
            </a:rPr>
            <a:t>4. Using the Template</a:t>
          </a: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1" i="0" u="none" strike="noStrike" baseline="0">
              <a:solidFill>
                <a:srgbClr val="000000"/>
              </a:solidFill>
              <a:latin typeface="Arial"/>
              <a:cs typeface="Arial"/>
            </a:rPr>
            <a:t>Coloured cells</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There may be a number of coloured cells in the template provided. The yellow cells indicate where you should enter data. The red cells are locked and secured against tampering. </a:t>
          </a:r>
        </a:p>
        <a:p>
          <a:pPr algn="l" rtl="0">
            <a:defRPr sz="1000"/>
          </a:pPr>
          <a:endParaRPr lang="en-AU" sz="1000" b="0" i="0" u="none" strike="noStrike" baseline="0">
            <a:solidFill>
              <a:srgbClr val="000000"/>
            </a:solidFill>
            <a:latin typeface="Arial"/>
            <a:cs typeface="Arial"/>
          </a:endParaRPr>
        </a:p>
        <a:p>
          <a:pPr algn="l" rtl="0">
            <a:defRPr sz="1000"/>
          </a:pPr>
          <a:r>
            <a:rPr lang="en-AU" sz="1000" b="1" i="0" u="none" strike="noStrike" baseline="0">
              <a:solidFill>
                <a:srgbClr val="000000"/>
              </a:solidFill>
              <a:latin typeface="Arial"/>
              <a:cs typeface="Arial"/>
            </a:rPr>
            <a:t>Making Data Entries</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Data entry in the package is simple. Numbers are entered into the yellow data cells. These figures will be used in formulas to calculate the $/Package and $/Hectare. These will be calculated once the required data has been entered into the appropriate cells. When entering data you can press Enter to store the data in that cell, or simply move the cursor off  that cell.</a:t>
          </a:r>
        </a:p>
        <a:p>
          <a:pPr algn="l" rtl="0">
            <a:defRPr sz="1000"/>
          </a:pPr>
          <a:endParaRPr lang="en-AU" sz="1000" b="0" i="0" u="none" strike="noStrike" baseline="0">
            <a:solidFill>
              <a:srgbClr val="000000"/>
            </a:solidFill>
            <a:latin typeface="Arial"/>
            <a:cs typeface="Arial"/>
          </a:endParaRPr>
        </a:p>
        <a:p>
          <a:pPr algn="l" rtl="0">
            <a:defRPr sz="1000"/>
          </a:pPr>
          <a:r>
            <a:rPr lang="en-AU" sz="1000" b="1" i="0" u="sng" strike="noStrike" baseline="0">
              <a:solidFill>
                <a:srgbClr val="000000"/>
              </a:solidFill>
              <a:latin typeface="Arial"/>
              <a:cs typeface="Arial"/>
            </a:rPr>
            <a:t>5. Definitions of Headings Used in the Template </a:t>
          </a: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Package - Generic term for Cartons, Cases, Trays and Tonnes.</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Yield/Ha - Cartons, Cases, Trays or Tonnes produced per hectare.</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$/Package - Price received, or expected price, per package. Also represents a break up of costs per package.</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$/Hectare - Represents the income per hectare, or cost per hectare. </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Operations - Number of times a certain farm machinery operation is carried out.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$/Operation - Represents Fuel, Oil, Repairs and Maintenance (F.O.R.M). These </a:t>
          </a:r>
        </a:p>
        <a:p>
          <a:pPr algn="l" rtl="0">
            <a:defRPr sz="1000"/>
          </a:pPr>
          <a:r>
            <a:rPr lang="en-AU" sz="1000" b="0" i="0" u="none" strike="noStrike" baseline="0">
              <a:solidFill>
                <a:srgbClr val="000000"/>
              </a:solidFill>
              <a:latin typeface="Arial"/>
              <a:cs typeface="Arial"/>
            </a:rPr>
            <a:t>individual components provide the running costs of the machinery.</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Units/Ha - Kilograms, Litres or Number used per hectare.</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$/Unit - Represents cost per kilogram, litre or number.</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Applications - Number of times a chemical is applied to the crop over its life.</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ML/Ha - Amount of water in Megalitres used to irrigate the crop over its life.</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$/ML - Cost of water used to irrigate crop.</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Hours - Number of man hours required to grow the crop.</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$/Hour - Value of one man hour (casual wages)</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Metres - Total length of equipment used on one hectare.</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$/Metre - Cost per metre of irrigation equipment.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Packages/Hr - The number of cartons, cases, trays or tonnes picked in one man hour.</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$/Pallet - The cost of transporting one pallet to a selected destination. Prices vary depending on wether you require refrigerated transport, or freight can be sent hot. </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Pallets - Number of pallets required to transport the yield of one hectare.</a:t>
          </a:r>
        </a:p>
        <a:p>
          <a:pPr algn="l" rtl="0">
            <a:defRPr sz="1000"/>
          </a:pPr>
          <a:endParaRPr lang="en-AU" sz="1000" b="0" i="0" u="none" strike="noStrike" baseline="0">
            <a:solidFill>
              <a:srgbClr val="000000"/>
            </a:solidFill>
            <a:latin typeface="Arial"/>
            <a:cs typeface="Arial"/>
          </a:endParaRPr>
        </a:p>
        <a:p>
          <a:pPr algn="l" rtl="0">
            <a:defRPr sz="1000"/>
          </a:pPr>
          <a:r>
            <a:rPr lang="en-AU" sz="1000" b="1" i="0" u="sng" strike="noStrike" baseline="0">
              <a:solidFill>
                <a:srgbClr val="000000"/>
              </a:solidFill>
              <a:latin typeface="Arial"/>
              <a:cs typeface="Arial"/>
            </a:rPr>
            <a:t>6. Key Notes</a:t>
          </a: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Some trade names are used for the purpose of providing specific information and because growers may be unfamiliar with actual chemical/active ingredient names. Mention of a trade name does not constitute a guarantee, warranty or endorsement by the QDPI&amp;F.</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Application rates and frequencies are those found to be most commonly applied (at the time the template was prepared) by producers and/or those recommended by chemical producers. Application rates and frequencies are not recommendations by the QDPI&amp;F. Producers should seek further advice regarding chemical and fertiliser rates if they have any queries.</a:t>
          </a:r>
        </a:p>
        <a:p>
          <a:pPr algn="l" rtl="0">
            <a:defRPr sz="1000"/>
          </a:pPr>
          <a:endParaRPr lang="en-AU" sz="10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1922145</xdr:colOff>
      <xdr:row>82</xdr:row>
      <xdr:rowOff>0</xdr:rowOff>
    </xdr:from>
    <xdr:to>
      <xdr:col>1</xdr:col>
      <xdr:colOff>1930083</xdr:colOff>
      <xdr:row>82</xdr:row>
      <xdr:rowOff>0</xdr:rowOff>
    </xdr:to>
    <xdr:sp macro="" textlink="">
      <xdr:nvSpPr>
        <xdr:cNvPr id="2049" name="Text 1"/>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7432"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78</xdr:row>
      <xdr:rowOff>0</xdr:rowOff>
    </xdr:from>
    <xdr:to>
      <xdr:col>1</xdr:col>
      <xdr:colOff>1930083</xdr:colOff>
      <xdr:row>78</xdr:row>
      <xdr:rowOff>0</xdr:rowOff>
    </xdr:to>
    <xdr:sp macro="" textlink="">
      <xdr:nvSpPr>
        <xdr:cNvPr id="2050" name="Text 3"/>
        <xdr:cNvSpPr txBox="1">
          <a:spLocks noChangeArrowheads="1"/>
        </xdr:cNvSpPr>
      </xdr:nvSpPr>
      <xdr:spPr bwMode="auto">
        <a:xfrm>
          <a:off x="2562225"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2051" name="Text 5"/>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78</xdr:row>
      <xdr:rowOff>0</xdr:rowOff>
    </xdr:from>
    <xdr:to>
      <xdr:col>1</xdr:col>
      <xdr:colOff>1930083</xdr:colOff>
      <xdr:row>78</xdr:row>
      <xdr:rowOff>0</xdr:rowOff>
    </xdr:to>
    <xdr:sp macro="" textlink="">
      <xdr:nvSpPr>
        <xdr:cNvPr id="2052" name="Text 7"/>
        <xdr:cNvSpPr txBox="1">
          <a:spLocks noChangeArrowheads="1"/>
        </xdr:cNvSpPr>
      </xdr:nvSpPr>
      <xdr:spPr bwMode="auto">
        <a:xfrm>
          <a:off x="2562225"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2053" name="Text 9"/>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2054" name="Text 11"/>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78</xdr:row>
      <xdr:rowOff>0</xdr:rowOff>
    </xdr:from>
    <xdr:to>
      <xdr:col>1</xdr:col>
      <xdr:colOff>1930083</xdr:colOff>
      <xdr:row>78</xdr:row>
      <xdr:rowOff>0</xdr:rowOff>
    </xdr:to>
    <xdr:sp macro="" textlink="">
      <xdr:nvSpPr>
        <xdr:cNvPr id="2055" name="Text 13"/>
        <xdr:cNvSpPr txBox="1">
          <a:spLocks noChangeArrowheads="1"/>
        </xdr:cNvSpPr>
      </xdr:nvSpPr>
      <xdr:spPr bwMode="auto">
        <a:xfrm>
          <a:off x="2562225"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2056" name="Text 15"/>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2057" name="Text 17"/>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2058" name="Text 19"/>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78</xdr:row>
      <xdr:rowOff>0</xdr:rowOff>
    </xdr:from>
    <xdr:to>
      <xdr:col>1</xdr:col>
      <xdr:colOff>1930083</xdr:colOff>
      <xdr:row>78</xdr:row>
      <xdr:rowOff>0</xdr:rowOff>
    </xdr:to>
    <xdr:sp macro="" textlink="">
      <xdr:nvSpPr>
        <xdr:cNvPr id="2059" name="Text 21"/>
        <xdr:cNvSpPr txBox="1">
          <a:spLocks noChangeArrowheads="1"/>
        </xdr:cNvSpPr>
      </xdr:nvSpPr>
      <xdr:spPr bwMode="auto">
        <a:xfrm>
          <a:off x="2562225"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2060" name="Text 23"/>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2061" name="Text 25"/>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2062" name="Text 27"/>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2063" name="Text 29"/>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78</xdr:row>
      <xdr:rowOff>0</xdr:rowOff>
    </xdr:from>
    <xdr:to>
      <xdr:col>1</xdr:col>
      <xdr:colOff>1930083</xdr:colOff>
      <xdr:row>78</xdr:row>
      <xdr:rowOff>0</xdr:rowOff>
    </xdr:to>
    <xdr:sp macro="" textlink="">
      <xdr:nvSpPr>
        <xdr:cNvPr id="2064" name="Text 31"/>
        <xdr:cNvSpPr txBox="1">
          <a:spLocks noChangeArrowheads="1"/>
        </xdr:cNvSpPr>
      </xdr:nvSpPr>
      <xdr:spPr bwMode="auto">
        <a:xfrm>
          <a:off x="2562225"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2065" name="Text 33"/>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2066" name="Text 35"/>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2067" name="Text 37"/>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2068" name="Text 39"/>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2069" name="Text 41"/>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78</xdr:row>
      <xdr:rowOff>0</xdr:rowOff>
    </xdr:from>
    <xdr:to>
      <xdr:col>1</xdr:col>
      <xdr:colOff>1930083</xdr:colOff>
      <xdr:row>78</xdr:row>
      <xdr:rowOff>0</xdr:rowOff>
    </xdr:to>
    <xdr:sp macro="" textlink="">
      <xdr:nvSpPr>
        <xdr:cNvPr id="2070" name="Text 43"/>
        <xdr:cNvSpPr txBox="1">
          <a:spLocks noChangeArrowheads="1"/>
        </xdr:cNvSpPr>
      </xdr:nvSpPr>
      <xdr:spPr bwMode="auto">
        <a:xfrm>
          <a:off x="2562225"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87</xdr:row>
      <xdr:rowOff>0</xdr:rowOff>
    </xdr:from>
    <xdr:to>
      <xdr:col>1</xdr:col>
      <xdr:colOff>1930083</xdr:colOff>
      <xdr:row>87</xdr:row>
      <xdr:rowOff>0</xdr:rowOff>
    </xdr:to>
    <xdr:sp macro="" textlink="">
      <xdr:nvSpPr>
        <xdr:cNvPr id="2071" name="Text 45"/>
        <xdr:cNvSpPr txBox="1">
          <a:spLocks noChangeArrowheads="1"/>
        </xdr:cNvSpPr>
      </xdr:nvSpPr>
      <xdr:spPr bwMode="auto">
        <a:xfrm>
          <a:off x="2562225" y="17106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1607820</xdr:colOff>
      <xdr:row>87</xdr:row>
      <xdr:rowOff>0</xdr:rowOff>
    </xdr:from>
    <xdr:to>
      <xdr:col>1</xdr:col>
      <xdr:colOff>1922145</xdr:colOff>
      <xdr:row>87</xdr:row>
      <xdr:rowOff>0</xdr:rowOff>
    </xdr:to>
    <xdr:sp macro="" textlink="">
      <xdr:nvSpPr>
        <xdr:cNvPr id="2072" name="Text 46"/>
        <xdr:cNvSpPr txBox="1">
          <a:spLocks noChangeArrowheads="1"/>
        </xdr:cNvSpPr>
      </xdr:nvSpPr>
      <xdr:spPr bwMode="auto">
        <a:xfrm>
          <a:off x="2247900" y="1710690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1</xdr:col>
      <xdr:colOff>1922145</xdr:colOff>
      <xdr:row>87</xdr:row>
      <xdr:rowOff>0</xdr:rowOff>
    </xdr:from>
    <xdr:to>
      <xdr:col>1</xdr:col>
      <xdr:colOff>1930083</xdr:colOff>
      <xdr:row>87</xdr:row>
      <xdr:rowOff>0</xdr:rowOff>
    </xdr:to>
    <xdr:sp macro="" textlink="">
      <xdr:nvSpPr>
        <xdr:cNvPr id="2073" name="Text 47"/>
        <xdr:cNvSpPr txBox="1">
          <a:spLocks noChangeArrowheads="1"/>
        </xdr:cNvSpPr>
      </xdr:nvSpPr>
      <xdr:spPr bwMode="auto">
        <a:xfrm>
          <a:off x="2562225" y="17106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87</xdr:row>
      <xdr:rowOff>0</xdr:rowOff>
    </xdr:from>
    <xdr:to>
      <xdr:col>1</xdr:col>
      <xdr:colOff>1930083</xdr:colOff>
      <xdr:row>87</xdr:row>
      <xdr:rowOff>0</xdr:rowOff>
    </xdr:to>
    <xdr:sp macro="" textlink="">
      <xdr:nvSpPr>
        <xdr:cNvPr id="2074" name="Text 48"/>
        <xdr:cNvSpPr txBox="1">
          <a:spLocks noChangeArrowheads="1"/>
        </xdr:cNvSpPr>
      </xdr:nvSpPr>
      <xdr:spPr bwMode="auto">
        <a:xfrm>
          <a:off x="2562225" y="17106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87</xdr:row>
      <xdr:rowOff>0</xdr:rowOff>
    </xdr:from>
    <xdr:to>
      <xdr:col>1</xdr:col>
      <xdr:colOff>1930083</xdr:colOff>
      <xdr:row>87</xdr:row>
      <xdr:rowOff>0</xdr:rowOff>
    </xdr:to>
    <xdr:sp macro="" textlink="">
      <xdr:nvSpPr>
        <xdr:cNvPr id="2075" name="Text 49"/>
        <xdr:cNvSpPr txBox="1">
          <a:spLocks noChangeArrowheads="1"/>
        </xdr:cNvSpPr>
      </xdr:nvSpPr>
      <xdr:spPr bwMode="auto">
        <a:xfrm>
          <a:off x="2562225" y="17106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87</xdr:row>
      <xdr:rowOff>0</xdr:rowOff>
    </xdr:from>
    <xdr:to>
      <xdr:col>1</xdr:col>
      <xdr:colOff>1930083</xdr:colOff>
      <xdr:row>87</xdr:row>
      <xdr:rowOff>0</xdr:rowOff>
    </xdr:to>
    <xdr:sp macro="" textlink="">
      <xdr:nvSpPr>
        <xdr:cNvPr id="2076" name="Text 50"/>
        <xdr:cNvSpPr txBox="1">
          <a:spLocks noChangeArrowheads="1"/>
        </xdr:cNvSpPr>
      </xdr:nvSpPr>
      <xdr:spPr bwMode="auto">
        <a:xfrm>
          <a:off x="2562225" y="17106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87</xdr:row>
      <xdr:rowOff>0</xdr:rowOff>
    </xdr:from>
    <xdr:to>
      <xdr:col>1</xdr:col>
      <xdr:colOff>1930083</xdr:colOff>
      <xdr:row>87</xdr:row>
      <xdr:rowOff>0</xdr:rowOff>
    </xdr:to>
    <xdr:sp macro="" textlink="">
      <xdr:nvSpPr>
        <xdr:cNvPr id="2077" name="Text 51"/>
        <xdr:cNvSpPr txBox="1">
          <a:spLocks noChangeArrowheads="1"/>
        </xdr:cNvSpPr>
      </xdr:nvSpPr>
      <xdr:spPr bwMode="auto">
        <a:xfrm>
          <a:off x="2562225" y="17106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1914525</xdr:colOff>
      <xdr:row>74</xdr:row>
      <xdr:rowOff>0</xdr:rowOff>
    </xdr:from>
    <xdr:to>
      <xdr:col>1</xdr:col>
      <xdr:colOff>0</xdr:colOff>
      <xdr:row>74</xdr:row>
      <xdr:rowOff>0</xdr:rowOff>
    </xdr:to>
    <xdr:sp macro="" textlink="">
      <xdr:nvSpPr>
        <xdr:cNvPr id="3073" name="Text 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3074" name="Text 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3075" name="Text 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3076" name="Text 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3077" name="Text 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3078" name="Text 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3079" name="Text 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3080" name="Text 1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3081" name="Text 1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3082" name="Text 1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3083" name="Text 1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3084" name="Text 1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3085" name="Text 1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3086" name="Text 2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3087" name="Text 2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3088" name="Text 2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3089" name="Text 2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3090" name="Text 2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3091" name="Text 3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3092" name="Text 3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3093" name="Text 3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3094" name="Text 3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3095" name="Text 3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3096" name="Text 4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3097" name="Text 43"/>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82</xdr:row>
      <xdr:rowOff>0</xdr:rowOff>
    </xdr:from>
    <xdr:to>
      <xdr:col>0</xdr:col>
      <xdr:colOff>708660</xdr:colOff>
      <xdr:row>82</xdr:row>
      <xdr:rowOff>0</xdr:rowOff>
    </xdr:to>
    <xdr:sp macro="" textlink="">
      <xdr:nvSpPr>
        <xdr:cNvPr id="3098" name="Text 44"/>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3099" name="Text 45"/>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3100" name="Text 46"/>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3101" name="Text 47"/>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3102" name="Text 48"/>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3103" name="Text 49"/>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3104" name="Text 50"/>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3105" name="Text 5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3106" name="Text 5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3107" name="Text 5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3108" name="Text 5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3109" name="Text 5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3110" name="Text 5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3111" name="Text 57"/>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3112" name="Text 5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3113" name="Text 5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3114" name="Text 6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3115" name="Text 6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3116" name="Text 6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3117" name="Text 6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3118" name="Text 6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3119" name="Text 6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3120" name="Text 6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3121" name="Text 6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3122" name="Text 6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3123" name="Text 6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3124" name="Text 7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3125" name="Text 7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3126" name="Text 7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3127" name="Text 7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3128" name="Text 7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3129" name="Text 7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3130" name="Text 7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3131" name="Text 7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3132" name="Text 7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3133" name="Text 7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3134" name="Text 8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3135" name="Text 8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3136" name="Text 8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3137" name="Text 83"/>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3138" name="Text 8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3139" name="Text 8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3140" name="Text 8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3141" name="Text 8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3142" name="Text 8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3143" name="Text 8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3144" name="Text 9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3145" name="Text 9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3146" name="Text 9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3147" name="Text 9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3148" name="Text 9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3149" name="Text 95"/>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75</xdr:row>
      <xdr:rowOff>0</xdr:rowOff>
    </xdr:from>
    <xdr:to>
      <xdr:col>1</xdr:col>
      <xdr:colOff>0</xdr:colOff>
      <xdr:row>75</xdr:row>
      <xdr:rowOff>0</xdr:rowOff>
    </xdr:to>
    <xdr:sp macro="" textlink="">
      <xdr:nvSpPr>
        <xdr:cNvPr id="3150" name="Text 96"/>
        <xdr:cNvSpPr txBox="1">
          <a:spLocks noChangeArrowheads="1"/>
        </xdr:cNvSpPr>
      </xdr:nvSpPr>
      <xdr:spPr bwMode="auto">
        <a:xfrm>
          <a:off x="685800" y="1470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3151" name="Text 97"/>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75</xdr:row>
      <xdr:rowOff>0</xdr:rowOff>
    </xdr:from>
    <xdr:to>
      <xdr:col>1</xdr:col>
      <xdr:colOff>0</xdr:colOff>
      <xdr:row>75</xdr:row>
      <xdr:rowOff>0</xdr:rowOff>
    </xdr:to>
    <xdr:sp macro="" textlink="">
      <xdr:nvSpPr>
        <xdr:cNvPr id="3152" name="Text 98"/>
        <xdr:cNvSpPr txBox="1">
          <a:spLocks noChangeArrowheads="1"/>
        </xdr:cNvSpPr>
      </xdr:nvSpPr>
      <xdr:spPr bwMode="auto">
        <a:xfrm>
          <a:off x="685800" y="1470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3153" name="Text 99"/>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3154" name="Text 100"/>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75</xdr:row>
      <xdr:rowOff>0</xdr:rowOff>
    </xdr:from>
    <xdr:to>
      <xdr:col>1</xdr:col>
      <xdr:colOff>0</xdr:colOff>
      <xdr:row>75</xdr:row>
      <xdr:rowOff>0</xdr:rowOff>
    </xdr:to>
    <xdr:sp macro="" textlink="">
      <xdr:nvSpPr>
        <xdr:cNvPr id="3155" name="Text 101"/>
        <xdr:cNvSpPr txBox="1">
          <a:spLocks noChangeArrowheads="1"/>
        </xdr:cNvSpPr>
      </xdr:nvSpPr>
      <xdr:spPr bwMode="auto">
        <a:xfrm>
          <a:off x="685800" y="1470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3156" name="Text 102"/>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3157" name="Text 103"/>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3158" name="Text 104"/>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75</xdr:row>
      <xdr:rowOff>0</xdr:rowOff>
    </xdr:from>
    <xdr:to>
      <xdr:col>1</xdr:col>
      <xdr:colOff>0</xdr:colOff>
      <xdr:row>75</xdr:row>
      <xdr:rowOff>0</xdr:rowOff>
    </xdr:to>
    <xdr:sp macro="" textlink="">
      <xdr:nvSpPr>
        <xdr:cNvPr id="3159" name="Text 105"/>
        <xdr:cNvSpPr txBox="1">
          <a:spLocks noChangeArrowheads="1"/>
        </xdr:cNvSpPr>
      </xdr:nvSpPr>
      <xdr:spPr bwMode="auto">
        <a:xfrm>
          <a:off x="685800" y="1470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3160" name="Text 106"/>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3161" name="Text 107"/>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3162" name="Text 108"/>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3163" name="Text 109"/>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75</xdr:row>
      <xdr:rowOff>0</xdr:rowOff>
    </xdr:from>
    <xdr:to>
      <xdr:col>1</xdr:col>
      <xdr:colOff>0</xdr:colOff>
      <xdr:row>75</xdr:row>
      <xdr:rowOff>0</xdr:rowOff>
    </xdr:to>
    <xdr:sp macro="" textlink="">
      <xdr:nvSpPr>
        <xdr:cNvPr id="3164" name="Text 110"/>
        <xdr:cNvSpPr txBox="1">
          <a:spLocks noChangeArrowheads="1"/>
        </xdr:cNvSpPr>
      </xdr:nvSpPr>
      <xdr:spPr bwMode="auto">
        <a:xfrm>
          <a:off x="685800" y="1470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3165" name="Text 111"/>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3166" name="Text 112"/>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3167" name="Text 113"/>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3168" name="Text 114"/>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3169" name="Text 115"/>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75</xdr:row>
      <xdr:rowOff>0</xdr:rowOff>
    </xdr:from>
    <xdr:to>
      <xdr:col>1</xdr:col>
      <xdr:colOff>0</xdr:colOff>
      <xdr:row>75</xdr:row>
      <xdr:rowOff>0</xdr:rowOff>
    </xdr:to>
    <xdr:sp macro="" textlink="">
      <xdr:nvSpPr>
        <xdr:cNvPr id="3170" name="Text 116"/>
        <xdr:cNvSpPr txBox="1">
          <a:spLocks noChangeArrowheads="1"/>
        </xdr:cNvSpPr>
      </xdr:nvSpPr>
      <xdr:spPr bwMode="auto">
        <a:xfrm>
          <a:off x="685800" y="1470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83</xdr:row>
      <xdr:rowOff>0</xdr:rowOff>
    </xdr:from>
    <xdr:to>
      <xdr:col>1</xdr:col>
      <xdr:colOff>0</xdr:colOff>
      <xdr:row>83</xdr:row>
      <xdr:rowOff>0</xdr:rowOff>
    </xdr:to>
    <xdr:sp macro="" textlink="">
      <xdr:nvSpPr>
        <xdr:cNvPr id="3171" name="Text 117"/>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83</xdr:row>
      <xdr:rowOff>0</xdr:rowOff>
    </xdr:from>
    <xdr:to>
      <xdr:col>0</xdr:col>
      <xdr:colOff>708660</xdr:colOff>
      <xdr:row>83</xdr:row>
      <xdr:rowOff>0</xdr:rowOff>
    </xdr:to>
    <xdr:sp macro="" textlink="">
      <xdr:nvSpPr>
        <xdr:cNvPr id="3172" name="Text 118"/>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83</xdr:row>
      <xdr:rowOff>0</xdr:rowOff>
    </xdr:from>
    <xdr:to>
      <xdr:col>1</xdr:col>
      <xdr:colOff>0</xdr:colOff>
      <xdr:row>83</xdr:row>
      <xdr:rowOff>0</xdr:rowOff>
    </xdr:to>
    <xdr:sp macro="" textlink="">
      <xdr:nvSpPr>
        <xdr:cNvPr id="3173" name="Text 119"/>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83</xdr:row>
      <xdr:rowOff>0</xdr:rowOff>
    </xdr:from>
    <xdr:to>
      <xdr:col>1</xdr:col>
      <xdr:colOff>0</xdr:colOff>
      <xdr:row>83</xdr:row>
      <xdr:rowOff>0</xdr:rowOff>
    </xdr:to>
    <xdr:sp macro="" textlink="">
      <xdr:nvSpPr>
        <xdr:cNvPr id="3174" name="Text 120"/>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83</xdr:row>
      <xdr:rowOff>0</xdr:rowOff>
    </xdr:from>
    <xdr:to>
      <xdr:col>1</xdr:col>
      <xdr:colOff>0</xdr:colOff>
      <xdr:row>83</xdr:row>
      <xdr:rowOff>0</xdr:rowOff>
    </xdr:to>
    <xdr:sp macro="" textlink="">
      <xdr:nvSpPr>
        <xdr:cNvPr id="3175" name="Text 121"/>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83</xdr:row>
      <xdr:rowOff>0</xdr:rowOff>
    </xdr:from>
    <xdr:to>
      <xdr:col>1</xdr:col>
      <xdr:colOff>0</xdr:colOff>
      <xdr:row>83</xdr:row>
      <xdr:rowOff>0</xdr:rowOff>
    </xdr:to>
    <xdr:sp macro="" textlink="">
      <xdr:nvSpPr>
        <xdr:cNvPr id="3176" name="Text 122"/>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83</xdr:row>
      <xdr:rowOff>0</xdr:rowOff>
    </xdr:from>
    <xdr:to>
      <xdr:col>1</xdr:col>
      <xdr:colOff>0</xdr:colOff>
      <xdr:row>83</xdr:row>
      <xdr:rowOff>0</xdr:rowOff>
    </xdr:to>
    <xdr:sp macro="" textlink="">
      <xdr:nvSpPr>
        <xdr:cNvPr id="3177" name="Text 123"/>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3178" name="Text 1"/>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78</xdr:row>
      <xdr:rowOff>0</xdr:rowOff>
    </xdr:from>
    <xdr:to>
      <xdr:col>1</xdr:col>
      <xdr:colOff>1930083</xdr:colOff>
      <xdr:row>78</xdr:row>
      <xdr:rowOff>0</xdr:rowOff>
    </xdr:to>
    <xdr:sp macro="" textlink="">
      <xdr:nvSpPr>
        <xdr:cNvPr id="3179" name="Text 3"/>
        <xdr:cNvSpPr txBox="1">
          <a:spLocks noChangeArrowheads="1"/>
        </xdr:cNvSpPr>
      </xdr:nvSpPr>
      <xdr:spPr bwMode="auto">
        <a:xfrm>
          <a:off x="2562225"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3180" name="Text 5"/>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78</xdr:row>
      <xdr:rowOff>0</xdr:rowOff>
    </xdr:from>
    <xdr:to>
      <xdr:col>1</xdr:col>
      <xdr:colOff>1930083</xdr:colOff>
      <xdr:row>78</xdr:row>
      <xdr:rowOff>0</xdr:rowOff>
    </xdr:to>
    <xdr:sp macro="" textlink="">
      <xdr:nvSpPr>
        <xdr:cNvPr id="3181" name="Text 7"/>
        <xdr:cNvSpPr txBox="1">
          <a:spLocks noChangeArrowheads="1"/>
        </xdr:cNvSpPr>
      </xdr:nvSpPr>
      <xdr:spPr bwMode="auto">
        <a:xfrm>
          <a:off x="2562225"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3182" name="Text 9"/>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3183" name="Text 11"/>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78</xdr:row>
      <xdr:rowOff>0</xdr:rowOff>
    </xdr:from>
    <xdr:to>
      <xdr:col>1</xdr:col>
      <xdr:colOff>1930083</xdr:colOff>
      <xdr:row>78</xdr:row>
      <xdr:rowOff>0</xdr:rowOff>
    </xdr:to>
    <xdr:sp macro="" textlink="">
      <xdr:nvSpPr>
        <xdr:cNvPr id="3184" name="Text 13"/>
        <xdr:cNvSpPr txBox="1">
          <a:spLocks noChangeArrowheads="1"/>
        </xdr:cNvSpPr>
      </xdr:nvSpPr>
      <xdr:spPr bwMode="auto">
        <a:xfrm>
          <a:off x="2562225"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3185" name="Text 15"/>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3186" name="Text 17"/>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3187" name="Text 19"/>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78</xdr:row>
      <xdr:rowOff>0</xdr:rowOff>
    </xdr:from>
    <xdr:to>
      <xdr:col>1</xdr:col>
      <xdr:colOff>1930083</xdr:colOff>
      <xdr:row>78</xdr:row>
      <xdr:rowOff>0</xdr:rowOff>
    </xdr:to>
    <xdr:sp macro="" textlink="">
      <xdr:nvSpPr>
        <xdr:cNvPr id="3188" name="Text 21"/>
        <xdr:cNvSpPr txBox="1">
          <a:spLocks noChangeArrowheads="1"/>
        </xdr:cNvSpPr>
      </xdr:nvSpPr>
      <xdr:spPr bwMode="auto">
        <a:xfrm>
          <a:off x="2562225"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3189" name="Text 23"/>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3190" name="Text 25"/>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3191" name="Text 27"/>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3192" name="Text 29"/>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78</xdr:row>
      <xdr:rowOff>0</xdr:rowOff>
    </xdr:from>
    <xdr:to>
      <xdr:col>1</xdr:col>
      <xdr:colOff>1930083</xdr:colOff>
      <xdr:row>78</xdr:row>
      <xdr:rowOff>0</xdr:rowOff>
    </xdr:to>
    <xdr:sp macro="" textlink="">
      <xdr:nvSpPr>
        <xdr:cNvPr id="3193" name="Text 31"/>
        <xdr:cNvSpPr txBox="1">
          <a:spLocks noChangeArrowheads="1"/>
        </xdr:cNvSpPr>
      </xdr:nvSpPr>
      <xdr:spPr bwMode="auto">
        <a:xfrm>
          <a:off x="2562225"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3194" name="Text 33"/>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3195" name="Text 35"/>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3196" name="Text 37"/>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3197" name="Text 39"/>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3198" name="Text 41"/>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78</xdr:row>
      <xdr:rowOff>0</xdr:rowOff>
    </xdr:from>
    <xdr:to>
      <xdr:col>1</xdr:col>
      <xdr:colOff>1930083</xdr:colOff>
      <xdr:row>78</xdr:row>
      <xdr:rowOff>0</xdr:rowOff>
    </xdr:to>
    <xdr:sp macro="" textlink="">
      <xdr:nvSpPr>
        <xdr:cNvPr id="3199" name="Text 43"/>
        <xdr:cNvSpPr txBox="1">
          <a:spLocks noChangeArrowheads="1"/>
        </xdr:cNvSpPr>
      </xdr:nvSpPr>
      <xdr:spPr bwMode="auto">
        <a:xfrm>
          <a:off x="2562225"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87</xdr:row>
      <xdr:rowOff>0</xdr:rowOff>
    </xdr:from>
    <xdr:to>
      <xdr:col>1</xdr:col>
      <xdr:colOff>1930083</xdr:colOff>
      <xdr:row>87</xdr:row>
      <xdr:rowOff>0</xdr:rowOff>
    </xdr:to>
    <xdr:sp macro="" textlink="">
      <xdr:nvSpPr>
        <xdr:cNvPr id="3200" name="Text 45"/>
        <xdr:cNvSpPr txBox="1">
          <a:spLocks noChangeArrowheads="1"/>
        </xdr:cNvSpPr>
      </xdr:nvSpPr>
      <xdr:spPr bwMode="auto">
        <a:xfrm>
          <a:off x="2562225" y="17106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1607820</xdr:colOff>
      <xdr:row>87</xdr:row>
      <xdr:rowOff>0</xdr:rowOff>
    </xdr:from>
    <xdr:to>
      <xdr:col>1</xdr:col>
      <xdr:colOff>1922145</xdr:colOff>
      <xdr:row>87</xdr:row>
      <xdr:rowOff>0</xdr:rowOff>
    </xdr:to>
    <xdr:sp macro="" textlink="">
      <xdr:nvSpPr>
        <xdr:cNvPr id="3201" name="Text 46"/>
        <xdr:cNvSpPr txBox="1">
          <a:spLocks noChangeArrowheads="1"/>
        </xdr:cNvSpPr>
      </xdr:nvSpPr>
      <xdr:spPr bwMode="auto">
        <a:xfrm>
          <a:off x="2247900" y="1710690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1</xdr:col>
      <xdr:colOff>1922145</xdr:colOff>
      <xdr:row>87</xdr:row>
      <xdr:rowOff>0</xdr:rowOff>
    </xdr:from>
    <xdr:to>
      <xdr:col>1</xdr:col>
      <xdr:colOff>1930083</xdr:colOff>
      <xdr:row>87</xdr:row>
      <xdr:rowOff>0</xdr:rowOff>
    </xdr:to>
    <xdr:sp macro="" textlink="">
      <xdr:nvSpPr>
        <xdr:cNvPr id="3202" name="Text 47"/>
        <xdr:cNvSpPr txBox="1">
          <a:spLocks noChangeArrowheads="1"/>
        </xdr:cNvSpPr>
      </xdr:nvSpPr>
      <xdr:spPr bwMode="auto">
        <a:xfrm>
          <a:off x="2562225" y="17106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87</xdr:row>
      <xdr:rowOff>0</xdr:rowOff>
    </xdr:from>
    <xdr:to>
      <xdr:col>1</xdr:col>
      <xdr:colOff>1930083</xdr:colOff>
      <xdr:row>87</xdr:row>
      <xdr:rowOff>0</xdr:rowOff>
    </xdr:to>
    <xdr:sp macro="" textlink="">
      <xdr:nvSpPr>
        <xdr:cNvPr id="3203" name="Text 48"/>
        <xdr:cNvSpPr txBox="1">
          <a:spLocks noChangeArrowheads="1"/>
        </xdr:cNvSpPr>
      </xdr:nvSpPr>
      <xdr:spPr bwMode="auto">
        <a:xfrm>
          <a:off x="2562225" y="17106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87</xdr:row>
      <xdr:rowOff>0</xdr:rowOff>
    </xdr:from>
    <xdr:to>
      <xdr:col>1</xdr:col>
      <xdr:colOff>1930083</xdr:colOff>
      <xdr:row>87</xdr:row>
      <xdr:rowOff>0</xdr:rowOff>
    </xdr:to>
    <xdr:sp macro="" textlink="">
      <xdr:nvSpPr>
        <xdr:cNvPr id="3204" name="Text 49"/>
        <xdr:cNvSpPr txBox="1">
          <a:spLocks noChangeArrowheads="1"/>
        </xdr:cNvSpPr>
      </xdr:nvSpPr>
      <xdr:spPr bwMode="auto">
        <a:xfrm>
          <a:off x="2562225" y="17106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87</xdr:row>
      <xdr:rowOff>0</xdr:rowOff>
    </xdr:from>
    <xdr:to>
      <xdr:col>1</xdr:col>
      <xdr:colOff>1930083</xdr:colOff>
      <xdr:row>87</xdr:row>
      <xdr:rowOff>0</xdr:rowOff>
    </xdr:to>
    <xdr:sp macro="" textlink="">
      <xdr:nvSpPr>
        <xdr:cNvPr id="3205" name="Text 50"/>
        <xdr:cNvSpPr txBox="1">
          <a:spLocks noChangeArrowheads="1"/>
        </xdr:cNvSpPr>
      </xdr:nvSpPr>
      <xdr:spPr bwMode="auto">
        <a:xfrm>
          <a:off x="2562225" y="17106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87</xdr:row>
      <xdr:rowOff>0</xdr:rowOff>
    </xdr:from>
    <xdr:to>
      <xdr:col>1</xdr:col>
      <xdr:colOff>1930083</xdr:colOff>
      <xdr:row>87</xdr:row>
      <xdr:rowOff>0</xdr:rowOff>
    </xdr:to>
    <xdr:sp macro="" textlink="">
      <xdr:nvSpPr>
        <xdr:cNvPr id="3206" name="Text 51"/>
        <xdr:cNvSpPr txBox="1">
          <a:spLocks noChangeArrowheads="1"/>
        </xdr:cNvSpPr>
      </xdr:nvSpPr>
      <xdr:spPr bwMode="auto">
        <a:xfrm>
          <a:off x="2562225" y="17106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704850</xdr:colOff>
      <xdr:row>82</xdr:row>
      <xdr:rowOff>0</xdr:rowOff>
    </xdr:from>
    <xdr:to>
      <xdr:col>1</xdr:col>
      <xdr:colOff>493464</xdr:colOff>
      <xdr:row>82</xdr:row>
      <xdr:rowOff>0</xdr:rowOff>
    </xdr:to>
    <xdr:sp macro="" textlink="">
      <xdr:nvSpPr>
        <xdr:cNvPr id="4097" name="Text 16"/>
        <xdr:cNvSpPr txBox="1">
          <a:spLocks noChangeArrowheads="1"/>
        </xdr:cNvSpPr>
      </xdr:nvSpPr>
      <xdr:spPr bwMode="auto">
        <a:xfrm>
          <a:off x="685800" y="16106775"/>
          <a:ext cx="48577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098" name="Text 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099" name="Text 3"/>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4100" name="Text 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01" name="Text 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02" name="Text 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103" name="Text 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4104" name="Text 1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05" name="Text 1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06" name="Text 1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07" name="Text 1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108" name="Text 17"/>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4109" name="Text 1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10" name="Text 1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11" name="Text 2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12" name="Text 2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13" name="Text 2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114" name="Text 27"/>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4115" name="Text 2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16" name="Text 2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17" name="Text 3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18" name="Text 3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19" name="Text 3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20" name="Text 3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121" name="Text 3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4122" name="Text 4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4123" name="Text 41"/>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82</xdr:row>
      <xdr:rowOff>0</xdr:rowOff>
    </xdr:from>
    <xdr:to>
      <xdr:col>0</xdr:col>
      <xdr:colOff>708660</xdr:colOff>
      <xdr:row>82</xdr:row>
      <xdr:rowOff>0</xdr:rowOff>
    </xdr:to>
    <xdr:sp macro="" textlink="">
      <xdr:nvSpPr>
        <xdr:cNvPr id="4124" name="Text 42"/>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4125" name="Text 43"/>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4126" name="Text 44"/>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4127" name="Text 45"/>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4128" name="Text 46"/>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4129" name="Text 47"/>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130" name="Text 4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4131" name="Text 4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32" name="Text 5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133" name="Text 5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4134" name="Text 5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35" name="Text 5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36" name="Text 5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137" name="Text 5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4138" name="Text 5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39" name="Text 5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40" name="Text 5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41" name="Text 5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142" name="Text 6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4143" name="Text 6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44" name="Text 6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45" name="Text 6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46" name="Text 6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47" name="Text 6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148" name="Text 6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4149" name="Text 67"/>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50" name="Text 6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51" name="Text 6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52" name="Text 7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53" name="Text 7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54" name="Text 7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155" name="Text 73"/>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4156" name="Text 7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57" name="Text 7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158" name="Text 7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59" name="Text 7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160" name="Text 7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61" name="Text 7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62" name="Text 8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163" name="Text 8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64" name="Text 8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65" name="Text 8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66" name="Text 8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167" name="Text 8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68" name="Text 8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69" name="Text 8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70" name="Text 8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71" name="Text 8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172" name="Text 9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73" name="Text 9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74" name="Text 9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75" name="Text 9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76" name="Text 9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77" name="Text 9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178" name="Text 9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179" name="Text 97"/>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4180" name="Text 9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81" name="Text 9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182" name="Text 10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4183" name="Text 10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84" name="Text 10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85" name="Text 10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186" name="Text 10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4187" name="Text 10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88" name="Text 10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89" name="Text 10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90" name="Text 10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191" name="Text 10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92" name="Text 11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93" name="Text 11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94" name="Text 11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95" name="Text 11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196" name="Text 11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97" name="Text 11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98" name="Text 11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199" name="Text 11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00" name="Text 11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01" name="Text 11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202" name="Text 12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03" name="Text 12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204" name="Text 12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05" name="Text 12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206" name="Text 12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07" name="Text 12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08" name="Text 12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209" name="Text 127"/>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10" name="Text 12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11" name="Text 12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12" name="Text 13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213" name="Text 13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14" name="Text 13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15" name="Text 13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16" name="Text 13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17" name="Text 13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218" name="Text 13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19" name="Text 13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20" name="Text 13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21" name="Text 13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22" name="Text 14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23" name="Text 14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224" name="Text 14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225" name="Text 143"/>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4226" name="Text 14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27" name="Text 14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228" name="Text 14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4229" name="Text 147"/>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30" name="Text 14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31" name="Text 14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232" name="Text 15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4233" name="Text 15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34" name="Text 15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35" name="Text 15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36" name="Text 15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237" name="Text 15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38" name="Text 15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39" name="Text 15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40" name="Text 15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41" name="Text 15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242" name="Text 16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43" name="Text 16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44" name="Text 16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45" name="Text 16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46" name="Text 16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47" name="Text 16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248" name="Text 16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49" name="Text 16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250" name="Text 16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51" name="Text 16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252" name="Text 17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53" name="Text 17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54" name="Text 17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255" name="Text 173"/>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56" name="Text 17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57" name="Text 17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58" name="Text 17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259" name="Text 177"/>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60" name="Text 17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61" name="Text 17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62" name="Text 18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63" name="Text 18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264" name="Text 18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65" name="Text 18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66" name="Text 18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67" name="Text 18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68" name="Text 18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69" name="Text 18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270" name="Text 18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271" name="Text 18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4272" name="Text 19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73" name="Text 19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274" name="Text 19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4275" name="Text 193"/>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76" name="Text 19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77" name="Text 19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278" name="Text 19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4279" name="Text 197"/>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80" name="Text 19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81" name="Text 19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82" name="Text 20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283" name="Text 20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84" name="Text 20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85" name="Text 20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86" name="Text 20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87" name="Text 20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288" name="Text 20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89" name="Text 20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90" name="Text 20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91" name="Text 20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92" name="Text 21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93" name="Text 21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294" name="Text 21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95" name="Text 21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296" name="Text 21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97" name="Text 21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298" name="Text 21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299" name="Text 21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00" name="Text 21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301" name="Text 21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02" name="Text 22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03" name="Text 22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04" name="Text 22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305" name="Text 223"/>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06" name="Text 22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07" name="Text 22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08" name="Text 22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09" name="Text 22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310" name="Text 22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11" name="Text 22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12" name="Text 23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13" name="Text 23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14" name="Text 23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15" name="Text 23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316" name="Text 23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17" name="Text 23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318" name="Text 23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19" name="Text 23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320" name="Text 23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21" name="Text 23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22" name="Text 24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323" name="Text 24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24" name="Text 24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25" name="Text 24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26" name="Text 24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327" name="Text 24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28" name="Text 24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29" name="Text 24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30" name="Text 24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31" name="Text 24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332" name="Text 25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33" name="Text 25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34" name="Text 25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35" name="Text 25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36" name="Text 25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37" name="Text 25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338" name="Text 25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339" name="Text 257"/>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4340" name="Text 25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41" name="Text 25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342" name="Text 26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4343" name="Text 26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44" name="Text 26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45" name="Text 26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346" name="Text 26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4347" name="Text 26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48" name="Text 26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49" name="Text 26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50" name="Text 26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351" name="Text 26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52" name="Text 27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53" name="Text 27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54" name="Text 27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55" name="Text 27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356" name="Text 27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57" name="Text 27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58" name="Text 27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59" name="Text 27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60" name="Text 27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61" name="Text 27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362" name="Text 28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63" name="Text 28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364" name="Text 28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65" name="Text 28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366" name="Text 28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67" name="Text 28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68" name="Text 28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369" name="Text 287"/>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70" name="Text 28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71" name="Text 28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72" name="Text 29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373" name="Text 29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74" name="Text 29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75" name="Text 29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76" name="Text 29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77" name="Text 29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378" name="Text 29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79" name="Text 29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80" name="Text 29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81" name="Text 29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82" name="Text 30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83" name="Text 30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384" name="Text 30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85" name="Text 30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386" name="Text 30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87" name="Text 30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388" name="Text 30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89" name="Text 30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90" name="Text 30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391" name="Text 30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92" name="Text 31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93" name="Text 31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94" name="Text 31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395" name="Text 313"/>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96" name="Text 31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97" name="Text 31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98" name="Text 31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399" name="Text 31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400" name="Text 31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01" name="Text 31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02" name="Text 32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03" name="Text 32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04" name="Text 32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05" name="Text 32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406" name="Text 32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407" name="Text 32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4408" name="Text 32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09" name="Text 32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410" name="Text 32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4411" name="Text 32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12" name="Text 33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13" name="Text 33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414" name="Text 33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4415" name="Text 333"/>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16" name="Text 33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17" name="Text 33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18" name="Text 33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419" name="Text 337"/>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20" name="Text 33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21" name="Text 33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22" name="Text 34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23" name="Text 34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424" name="Text 34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25" name="Text 34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26" name="Text 34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27" name="Text 34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28" name="Text 34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29" name="Text 34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430" name="Text 34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4431" name="Text 349"/>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82</xdr:row>
      <xdr:rowOff>0</xdr:rowOff>
    </xdr:from>
    <xdr:to>
      <xdr:col>0</xdr:col>
      <xdr:colOff>708660</xdr:colOff>
      <xdr:row>82</xdr:row>
      <xdr:rowOff>0</xdr:rowOff>
    </xdr:to>
    <xdr:sp macro="" textlink="">
      <xdr:nvSpPr>
        <xdr:cNvPr id="4432" name="Text 350"/>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4433" name="Text 351"/>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4434" name="Text 352"/>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4435" name="Text 353"/>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4436" name="Text 354"/>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4437" name="Text 355"/>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4438" name="Text 356"/>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39" name="Text 35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440" name="Text 35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41" name="Text 35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442" name="Text 36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43" name="Text 36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44" name="Text 36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445" name="Text 363"/>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46" name="Text 36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47" name="Text 36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48" name="Text 36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449" name="Text 367"/>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50" name="Text 36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51" name="Text 36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52" name="Text 37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53" name="Text 37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454" name="Text 37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55" name="Text 37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56" name="Text 37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57" name="Text 37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58" name="Text 37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59" name="Text 37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460" name="Text 37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61" name="Text 37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462" name="Text 38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63" name="Text 38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464" name="Text 38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65" name="Text 38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66" name="Text 38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467" name="Text 38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68" name="Text 38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69" name="Text 38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70" name="Text 38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471" name="Text 38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72" name="Text 39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73" name="Text 39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74" name="Text 39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75" name="Text 39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476" name="Text 39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77" name="Text 39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78" name="Text 39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79" name="Text 39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80" name="Text 39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481" name="Text 39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482" name="Text 40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4483" name="Text 401"/>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75</xdr:row>
      <xdr:rowOff>0</xdr:rowOff>
    </xdr:from>
    <xdr:to>
      <xdr:col>1</xdr:col>
      <xdr:colOff>0</xdr:colOff>
      <xdr:row>75</xdr:row>
      <xdr:rowOff>0</xdr:rowOff>
    </xdr:to>
    <xdr:sp macro="" textlink="">
      <xdr:nvSpPr>
        <xdr:cNvPr id="4484" name="Text 402"/>
        <xdr:cNvSpPr txBox="1">
          <a:spLocks noChangeArrowheads="1"/>
        </xdr:cNvSpPr>
      </xdr:nvSpPr>
      <xdr:spPr bwMode="auto">
        <a:xfrm>
          <a:off x="685800" y="1470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4485" name="Text 403"/>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75</xdr:row>
      <xdr:rowOff>0</xdr:rowOff>
    </xdr:from>
    <xdr:to>
      <xdr:col>1</xdr:col>
      <xdr:colOff>0</xdr:colOff>
      <xdr:row>75</xdr:row>
      <xdr:rowOff>0</xdr:rowOff>
    </xdr:to>
    <xdr:sp macro="" textlink="">
      <xdr:nvSpPr>
        <xdr:cNvPr id="4486" name="Text 404"/>
        <xdr:cNvSpPr txBox="1">
          <a:spLocks noChangeArrowheads="1"/>
        </xdr:cNvSpPr>
      </xdr:nvSpPr>
      <xdr:spPr bwMode="auto">
        <a:xfrm>
          <a:off x="685800" y="1470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4487" name="Text 405"/>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4488" name="Text 406"/>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75</xdr:row>
      <xdr:rowOff>0</xdr:rowOff>
    </xdr:from>
    <xdr:to>
      <xdr:col>1</xdr:col>
      <xdr:colOff>0</xdr:colOff>
      <xdr:row>75</xdr:row>
      <xdr:rowOff>0</xdr:rowOff>
    </xdr:to>
    <xdr:sp macro="" textlink="">
      <xdr:nvSpPr>
        <xdr:cNvPr id="4489" name="Text 407"/>
        <xdr:cNvSpPr txBox="1">
          <a:spLocks noChangeArrowheads="1"/>
        </xdr:cNvSpPr>
      </xdr:nvSpPr>
      <xdr:spPr bwMode="auto">
        <a:xfrm>
          <a:off x="685800" y="1470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4490" name="Text 408"/>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4491" name="Text 409"/>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4492" name="Text 410"/>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75</xdr:row>
      <xdr:rowOff>0</xdr:rowOff>
    </xdr:from>
    <xdr:to>
      <xdr:col>1</xdr:col>
      <xdr:colOff>0</xdr:colOff>
      <xdr:row>75</xdr:row>
      <xdr:rowOff>0</xdr:rowOff>
    </xdr:to>
    <xdr:sp macro="" textlink="">
      <xdr:nvSpPr>
        <xdr:cNvPr id="4493" name="Text 411"/>
        <xdr:cNvSpPr txBox="1">
          <a:spLocks noChangeArrowheads="1"/>
        </xdr:cNvSpPr>
      </xdr:nvSpPr>
      <xdr:spPr bwMode="auto">
        <a:xfrm>
          <a:off x="685800" y="1470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4494" name="Text 412"/>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4495" name="Text 413"/>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4496" name="Text 414"/>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4497" name="Text 415"/>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75</xdr:row>
      <xdr:rowOff>0</xdr:rowOff>
    </xdr:from>
    <xdr:to>
      <xdr:col>1</xdr:col>
      <xdr:colOff>0</xdr:colOff>
      <xdr:row>75</xdr:row>
      <xdr:rowOff>0</xdr:rowOff>
    </xdr:to>
    <xdr:sp macro="" textlink="">
      <xdr:nvSpPr>
        <xdr:cNvPr id="4498" name="Text 416"/>
        <xdr:cNvSpPr txBox="1">
          <a:spLocks noChangeArrowheads="1"/>
        </xdr:cNvSpPr>
      </xdr:nvSpPr>
      <xdr:spPr bwMode="auto">
        <a:xfrm>
          <a:off x="685800" y="1470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4499" name="Text 417"/>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4500" name="Text 418"/>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4501" name="Text 419"/>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4502" name="Text 420"/>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4503" name="Text 421"/>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75</xdr:row>
      <xdr:rowOff>0</xdr:rowOff>
    </xdr:from>
    <xdr:to>
      <xdr:col>1</xdr:col>
      <xdr:colOff>0</xdr:colOff>
      <xdr:row>75</xdr:row>
      <xdr:rowOff>0</xdr:rowOff>
    </xdr:to>
    <xdr:sp macro="" textlink="">
      <xdr:nvSpPr>
        <xdr:cNvPr id="4504" name="Text 422"/>
        <xdr:cNvSpPr txBox="1">
          <a:spLocks noChangeArrowheads="1"/>
        </xdr:cNvSpPr>
      </xdr:nvSpPr>
      <xdr:spPr bwMode="auto">
        <a:xfrm>
          <a:off x="685800" y="1470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83</xdr:row>
      <xdr:rowOff>0</xdr:rowOff>
    </xdr:from>
    <xdr:to>
      <xdr:col>1</xdr:col>
      <xdr:colOff>0</xdr:colOff>
      <xdr:row>83</xdr:row>
      <xdr:rowOff>0</xdr:rowOff>
    </xdr:to>
    <xdr:sp macro="" textlink="">
      <xdr:nvSpPr>
        <xdr:cNvPr id="4505" name="Text 423"/>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83</xdr:row>
      <xdr:rowOff>0</xdr:rowOff>
    </xdr:from>
    <xdr:to>
      <xdr:col>0</xdr:col>
      <xdr:colOff>708660</xdr:colOff>
      <xdr:row>83</xdr:row>
      <xdr:rowOff>0</xdr:rowOff>
    </xdr:to>
    <xdr:sp macro="" textlink="">
      <xdr:nvSpPr>
        <xdr:cNvPr id="4506" name="Text 424"/>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83</xdr:row>
      <xdr:rowOff>0</xdr:rowOff>
    </xdr:from>
    <xdr:to>
      <xdr:col>1</xdr:col>
      <xdr:colOff>0</xdr:colOff>
      <xdr:row>83</xdr:row>
      <xdr:rowOff>0</xdr:rowOff>
    </xdr:to>
    <xdr:sp macro="" textlink="">
      <xdr:nvSpPr>
        <xdr:cNvPr id="4507" name="Text 425"/>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83</xdr:row>
      <xdr:rowOff>0</xdr:rowOff>
    </xdr:from>
    <xdr:to>
      <xdr:col>1</xdr:col>
      <xdr:colOff>0</xdr:colOff>
      <xdr:row>83</xdr:row>
      <xdr:rowOff>0</xdr:rowOff>
    </xdr:to>
    <xdr:sp macro="" textlink="">
      <xdr:nvSpPr>
        <xdr:cNvPr id="4508" name="Text 426"/>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83</xdr:row>
      <xdr:rowOff>0</xdr:rowOff>
    </xdr:from>
    <xdr:to>
      <xdr:col>1</xdr:col>
      <xdr:colOff>0</xdr:colOff>
      <xdr:row>83</xdr:row>
      <xdr:rowOff>0</xdr:rowOff>
    </xdr:to>
    <xdr:sp macro="" textlink="">
      <xdr:nvSpPr>
        <xdr:cNvPr id="4509" name="Text 427"/>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83</xdr:row>
      <xdr:rowOff>0</xdr:rowOff>
    </xdr:from>
    <xdr:to>
      <xdr:col>1</xdr:col>
      <xdr:colOff>0</xdr:colOff>
      <xdr:row>83</xdr:row>
      <xdr:rowOff>0</xdr:rowOff>
    </xdr:to>
    <xdr:sp macro="" textlink="">
      <xdr:nvSpPr>
        <xdr:cNvPr id="4510" name="Text 428"/>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83</xdr:row>
      <xdr:rowOff>0</xdr:rowOff>
    </xdr:from>
    <xdr:to>
      <xdr:col>1</xdr:col>
      <xdr:colOff>0</xdr:colOff>
      <xdr:row>83</xdr:row>
      <xdr:rowOff>0</xdr:rowOff>
    </xdr:to>
    <xdr:sp macro="" textlink="">
      <xdr:nvSpPr>
        <xdr:cNvPr id="4511" name="Text 429"/>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512" name="Text 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4513" name="Text 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514" name="Text 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515" name="Text 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4516" name="Text 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517" name="Text 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518" name="Text 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519" name="Text 1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4520" name="Text 1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521" name="Text 1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522" name="Text 1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523" name="Text 1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524" name="Text 1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525" name="Text 2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526" name="Text 2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527" name="Text 2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528" name="Text 2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529" name="Text 2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530" name="Text 3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531" name="Text 3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532" name="Text 3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533" name="Text 3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534" name="Text 3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535" name="Text 4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4536" name="Text 43"/>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82</xdr:row>
      <xdr:rowOff>0</xdr:rowOff>
    </xdr:from>
    <xdr:to>
      <xdr:col>0</xdr:col>
      <xdr:colOff>708660</xdr:colOff>
      <xdr:row>82</xdr:row>
      <xdr:rowOff>0</xdr:rowOff>
    </xdr:to>
    <xdr:sp macro="" textlink="">
      <xdr:nvSpPr>
        <xdr:cNvPr id="4537" name="Text 44"/>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4538" name="Text 45"/>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4539" name="Text 46"/>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4540" name="Text 47"/>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4541" name="Text 48"/>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4542" name="Text 49"/>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4543" name="Text 50"/>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544" name="Text 5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545" name="Text 5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546" name="Text 5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547" name="Text 5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548" name="Text 5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549" name="Text 5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550" name="Text 57"/>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551" name="Text 5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552" name="Text 5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553" name="Text 6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554" name="Text 6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555" name="Text 6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556" name="Text 6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557" name="Text 6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558" name="Text 6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559" name="Text 6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560" name="Text 6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561" name="Text 6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562" name="Text 6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563" name="Text 7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564" name="Text 7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565" name="Text 7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566" name="Text 7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567" name="Text 7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568" name="Text 7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569" name="Text 7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570" name="Text 7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571" name="Text 7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572" name="Text 7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573" name="Text 8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574" name="Text 8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575" name="Text 8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576" name="Text 83"/>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577" name="Text 8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578" name="Text 8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579" name="Text 8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580" name="Text 8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581" name="Text 8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582" name="Text 8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583" name="Text 9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584" name="Text 9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585" name="Text 9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586" name="Text 9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587" name="Text 9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4588" name="Text 95"/>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75</xdr:row>
      <xdr:rowOff>0</xdr:rowOff>
    </xdr:from>
    <xdr:to>
      <xdr:col>1</xdr:col>
      <xdr:colOff>0</xdr:colOff>
      <xdr:row>75</xdr:row>
      <xdr:rowOff>0</xdr:rowOff>
    </xdr:to>
    <xdr:sp macro="" textlink="">
      <xdr:nvSpPr>
        <xdr:cNvPr id="4589" name="Text 96"/>
        <xdr:cNvSpPr txBox="1">
          <a:spLocks noChangeArrowheads="1"/>
        </xdr:cNvSpPr>
      </xdr:nvSpPr>
      <xdr:spPr bwMode="auto">
        <a:xfrm>
          <a:off x="685800" y="1470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4590" name="Text 97"/>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75</xdr:row>
      <xdr:rowOff>0</xdr:rowOff>
    </xdr:from>
    <xdr:to>
      <xdr:col>1</xdr:col>
      <xdr:colOff>0</xdr:colOff>
      <xdr:row>75</xdr:row>
      <xdr:rowOff>0</xdr:rowOff>
    </xdr:to>
    <xdr:sp macro="" textlink="">
      <xdr:nvSpPr>
        <xdr:cNvPr id="4591" name="Text 98"/>
        <xdr:cNvSpPr txBox="1">
          <a:spLocks noChangeArrowheads="1"/>
        </xdr:cNvSpPr>
      </xdr:nvSpPr>
      <xdr:spPr bwMode="auto">
        <a:xfrm>
          <a:off x="685800" y="1470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4592" name="Text 99"/>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4593" name="Text 100"/>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75</xdr:row>
      <xdr:rowOff>0</xdr:rowOff>
    </xdr:from>
    <xdr:to>
      <xdr:col>1</xdr:col>
      <xdr:colOff>0</xdr:colOff>
      <xdr:row>75</xdr:row>
      <xdr:rowOff>0</xdr:rowOff>
    </xdr:to>
    <xdr:sp macro="" textlink="">
      <xdr:nvSpPr>
        <xdr:cNvPr id="4594" name="Text 101"/>
        <xdr:cNvSpPr txBox="1">
          <a:spLocks noChangeArrowheads="1"/>
        </xdr:cNvSpPr>
      </xdr:nvSpPr>
      <xdr:spPr bwMode="auto">
        <a:xfrm>
          <a:off x="685800" y="1470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4595" name="Text 102"/>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4596" name="Text 103"/>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4597" name="Text 104"/>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75</xdr:row>
      <xdr:rowOff>0</xdr:rowOff>
    </xdr:from>
    <xdr:to>
      <xdr:col>1</xdr:col>
      <xdr:colOff>0</xdr:colOff>
      <xdr:row>75</xdr:row>
      <xdr:rowOff>0</xdr:rowOff>
    </xdr:to>
    <xdr:sp macro="" textlink="">
      <xdr:nvSpPr>
        <xdr:cNvPr id="4598" name="Text 105"/>
        <xdr:cNvSpPr txBox="1">
          <a:spLocks noChangeArrowheads="1"/>
        </xdr:cNvSpPr>
      </xdr:nvSpPr>
      <xdr:spPr bwMode="auto">
        <a:xfrm>
          <a:off x="685800" y="1470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4599" name="Text 106"/>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4600" name="Text 107"/>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4601" name="Text 108"/>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4602" name="Text 109"/>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75</xdr:row>
      <xdr:rowOff>0</xdr:rowOff>
    </xdr:from>
    <xdr:to>
      <xdr:col>1</xdr:col>
      <xdr:colOff>0</xdr:colOff>
      <xdr:row>75</xdr:row>
      <xdr:rowOff>0</xdr:rowOff>
    </xdr:to>
    <xdr:sp macro="" textlink="">
      <xdr:nvSpPr>
        <xdr:cNvPr id="4603" name="Text 110"/>
        <xdr:cNvSpPr txBox="1">
          <a:spLocks noChangeArrowheads="1"/>
        </xdr:cNvSpPr>
      </xdr:nvSpPr>
      <xdr:spPr bwMode="auto">
        <a:xfrm>
          <a:off x="685800" y="1470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4604" name="Text 111"/>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4605" name="Text 112"/>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4606" name="Text 113"/>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4607" name="Text 114"/>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4608" name="Text 115"/>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75</xdr:row>
      <xdr:rowOff>0</xdr:rowOff>
    </xdr:from>
    <xdr:to>
      <xdr:col>1</xdr:col>
      <xdr:colOff>0</xdr:colOff>
      <xdr:row>75</xdr:row>
      <xdr:rowOff>0</xdr:rowOff>
    </xdr:to>
    <xdr:sp macro="" textlink="">
      <xdr:nvSpPr>
        <xdr:cNvPr id="4609" name="Text 116"/>
        <xdr:cNvSpPr txBox="1">
          <a:spLocks noChangeArrowheads="1"/>
        </xdr:cNvSpPr>
      </xdr:nvSpPr>
      <xdr:spPr bwMode="auto">
        <a:xfrm>
          <a:off x="685800" y="1470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83</xdr:row>
      <xdr:rowOff>0</xdr:rowOff>
    </xdr:from>
    <xdr:to>
      <xdr:col>1</xdr:col>
      <xdr:colOff>0</xdr:colOff>
      <xdr:row>83</xdr:row>
      <xdr:rowOff>0</xdr:rowOff>
    </xdr:to>
    <xdr:sp macro="" textlink="">
      <xdr:nvSpPr>
        <xdr:cNvPr id="4610" name="Text 117"/>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83</xdr:row>
      <xdr:rowOff>0</xdr:rowOff>
    </xdr:from>
    <xdr:to>
      <xdr:col>0</xdr:col>
      <xdr:colOff>708660</xdr:colOff>
      <xdr:row>83</xdr:row>
      <xdr:rowOff>0</xdr:rowOff>
    </xdr:to>
    <xdr:sp macro="" textlink="">
      <xdr:nvSpPr>
        <xdr:cNvPr id="4611" name="Text 118"/>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83</xdr:row>
      <xdr:rowOff>0</xdr:rowOff>
    </xdr:from>
    <xdr:to>
      <xdr:col>1</xdr:col>
      <xdr:colOff>0</xdr:colOff>
      <xdr:row>83</xdr:row>
      <xdr:rowOff>0</xdr:rowOff>
    </xdr:to>
    <xdr:sp macro="" textlink="">
      <xdr:nvSpPr>
        <xdr:cNvPr id="4612" name="Text 119"/>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83</xdr:row>
      <xdr:rowOff>0</xdr:rowOff>
    </xdr:from>
    <xdr:to>
      <xdr:col>1</xdr:col>
      <xdr:colOff>0</xdr:colOff>
      <xdr:row>83</xdr:row>
      <xdr:rowOff>0</xdr:rowOff>
    </xdr:to>
    <xdr:sp macro="" textlink="">
      <xdr:nvSpPr>
        <xdr:cNvPr id="4613" name="Text 120"/>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83</xdr:row>
      <xdr:rowOff>0</xdr:rowOff>
    </xdr:from>
    <xdr:to>
      <xdr:col>1</xdr:col>
      <xdr:colOff>0</xdr:colOff>
      <xdr:row>83</xdr:row>
      <xdr:rowOff>0</xdr:rowOff>
    </xdr:to>
    <xdr:sp macro="" textlink="">
      <xdr:nvSpPr>
        <xdr:cNvPr id="4614" name="Text 121"/>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83</xdr:row>
      <xdr:rowOff>0</xdr:rowOff>
    </xdr:from>
    <xdr:to>
      <xdr:col>1</xdr:col>
      <xdr:colOff>0</xdr:colOff>
      <xdr:row>83</xdr:row>
      <xdr:rowOff>0</xdr:rowOff>
    </xdr:to>
    <xdr:sp macro="" textlink="">
      <xdr:nvSpPr>
        <xdr:cNvPr id="4615" name="Text 122"/>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83</xdr:row>
      <xdr:rowOff>0</xdr:rowOff>
    </xdr:from>
    <xdr:to>
      <xdr:col>1</xdr:col>
      <xdr:colOff>0</xdr:colOff>
      <xdr:row>83</xdr:row>
      <xdr:rowOff>0</xdr:rowOff>
    </xdr:to>
    <xdr:sp macro="" textlink="">
      <xdr:nvSpPr>
        <xdr:cNvPr id="4616" name="Text 123"/>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4617" name="Text 1"/>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78</xdr:row>
      <xdr:rowOff>0</xdr:rowOff>
    </xdr:from>
    <xdr:to>
      <xdr:col>1</xdr:col>
      <xdr:colOff>1930083</xdr:colOff>
      <xdr:row>78</xdr:row>
      <xdr:rowOff>0</xdr:rowOff>
    </xdr:to>
    <xdr:sp macro="" textlink="">
      <xdr:nvSpPr>
        <xdr:cNvPr id="4618" name="Text 3"/>
        <xdr:cNvSpPr txBox="1">
          <a:spLocks noChangeArrowheads="1"/>
        </xdr:cNvSpPr>
      </xdr:nvSpPr>
      <xdr:spPr bwMode="auto">
        <a:xfrm>
          <a:off x="2562225"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4619" name="Text 5"/>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78</xdr:row>
      <xdr:rowOff>0</xdr:rowOff>
    </xdr:from>
    <xdr:to>
      <xdr:col>1</xdr:col>
      <xdr:colOff>1930083</xdr:colOff>
      <xdr:row>78</xdr:row>
      <xdr:rowOff>0</xdr:rowOff>
    </xdr:to>
    <xdr:sp macro="" textlink="">
      <xdr:nvSpPr>
        <xdr:cNvPr id="4620" name="Text 7"/>
        <xdr:cNvSpPr txBox="1">
          <a:spLocks noChangeArrowheads="1"/>
        </xdr:cNvSpPr>
      </xdr:nvSpPr>
      <xdr:spPr bwMode="auto">
        <a:xfrm>
          <a:off x="2562225"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4621" name="Text 9"/>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4622" name="Text 11"/>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78</xdr:row>
      <xdr:rowOff>0</xdr:rowOff>
    </xdr:from>
    <xdr:to>
      <xdr:col>1</xdr:col>
      <xdr:colOff>1930083</xdr:colOff>
      <xdr:row>78</xdr:row>
      <xdr:rowOff>0</xdr:rowOff>
    </xdr:to>
    <xdr:sp macro="" textlink="">
      <xdr:nvSpPr>
        <xdr:cNvPr id="4623" name="Text 13"/>
        <xdr:cNvSpPr txBox="1">
          <a:spLocks noChangeArrowheads="1"/>
        </xdr:cNvSpPr>
      </xdr:nvSpPr>
      <xdr:spPr bwMode="auto">
        <a:xfrm>
          <a:off x="2562225"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4624" name="Text 15"/>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4625" name="Text 17"/>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4626" name="Text 19"/>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78</xdr:row>
      <xdr:rowOff>0</xdr:rowOff>
    </xdr:from>
    <xdr:to>
      <xdr:col>1</xdr:col>
      <xdr:colOff>1930083</xdr:colOff>
      <xdr:row>78</xdr:row>
      <xdr:rowOff>0</xdr:rowOff>
    </xdr:to>
    <xdr:sp macro="" textlink="">
      <xdr:nvSpPr>
        <xdr:cNvPr id="4627" name="Text 21"/>
        <xdr:cNvSpPr txBox="1">
          <a:spLocks noChangeArrowheads="1"/>
        </xdr:cNvSpPr>
      </xdr:nvSpPr>
      <xdr:spPr bwMode="auto">
        <a:xfrm>
          <a:off x="2562225"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4628" name="Text 23"/>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4629" name="Text 25"/>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4630" name="Text 27"/>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4631" name="Text 29"/>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78</xdr:row>
      <xdr:rowOff>0</xdr:rowOff>
    </xdr:from>
    <xdr:to>
      <xdr:col>1</xdr:col>
      <xdr:colOff>1930083</xdr:colOff>
      <xdr:row>78</xdr:row>
      <xdr:rowOff>0</xdr:rowOff>
    </xdr:to>
    <xdr:sp macro="" textlink="">
      <xdr:nvSpPr>
        <xdr:cNvPr id="4632" name="Text 31"/>
        <xdr:cNvSpPr txBox="1">
          <a:spLocks noChangeArrowheads="1"/>
        </xdr:cNvSpPr>
      </xdr:nvSpPr>
      <xdr:spPr bwMode="auto">
        <a:xfrm>
          <a:off x="2562225"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4633" name="Text 33"/>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4634" name="Text 35"/>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4635" name="Text 37"/>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4636" name="Text 39"/>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4637" name="Text 41"/>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78</xdr:row>
      <xdr:rowOff>0</xdr:rowOff>
    </xdr:from>
    <xdr:to>
      <xdr:col>1</xdr:col>
      <xdr:colOff>1930083</xdr:colOff>
      <xdr:row>78</xdr:row>
      <xdr:rowOff>0</xdr:rowOff>
    </xdr:to>
    <xdr:sp macro="" textlink="">
      <xdr:nvSpPr>
        <xdr:cNvPr id="4638" name="Text 43"/>
        <xdr:cNvSpPr txBox="1">
          <a:spLocks noChangeArrowheads="1"/>
        </xdr:cNvSpPr>
      </xdr:nvSpPr>
      <xdr:spPr bwMode="auto">
        <a:xfrm>
          <a:off x="2562225"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87</xdr:row>
      <xdr:rowOff>0</xdr:rowOff>
    </xdr:from>
    <xdr:to>
      <xdr:col>1</xdr:col>
      <xdr:colOff>1930083</xdr:colOff>
      <xdr:row>87</xdr:row>
      <xdr:rowOff>0</xdr:rowOff>
    </xdr:to>
    <xdr:sp macro="" textlink="">
      <xdr:nvSpPr>
        <xdr:cNvPr id="4639" name="Text 45"/>
        <xdr:cNvSpPr txBox="1">
          <a:spLocks noChangeArrowheads="1"/>
        </xdr:cNvSpPr>
      </xdr:nvSpPr>
      <xdr:spPr bwMode="auto">
        <a:xfrm>
          <a:off x="2562225" y="17106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1607820</xdr:colOff>
      <xdr:row>87</xdr:row>
      <xdr:rowOff>0</xdr:rowOff>
    </xdr:from>
    <xdr:to>
      <xdr:col>1</xdr:col>
      <xdr:colOff>1922145</xdr:colOff>
      <xdr:row>87</xdr:row>
      <xdr:rowOff>0</xdr:rowOff>
    </xdr:to>
    <xdr:sp macro="" textlink="">
      <xdr:nvSpPr>
        <xdr:cNvPr id="4640" name="Text 46"/>
        <xdr:cNvSpPr txBox="1">
          <a:spLocks noChangeArrowheads="1"/>
        </xdr:cNvSpPr>
      </xdr:nvSpPr>
      <xdr:spPr bwMode="auto">
        <a:xfrm>
          <a:off x="2247900" y="1710690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1</xdr:col>
      <xdr:colOff>1922145</xdr:colOff>
      <xdr:row>87</xdr:row>
      <xdr:rowOff>0</xdr:rowOff>
    </xdr:from>
    <xdr:to>
      <xdr:col>1</xdr:col>
      <xdr:colOff>1930083</xdr:colOff>
      <xdr:row>87</xdr:row>
      <xdr:rowOff>0</xdr:rowOff>
    </xdr:to>
    <xdr:sp macro="" textlink="">
      <xdr:nvSpPr>
        <xdr:cNvPr id="4641" name="Text 47"/>
        <xdr:cNvSpPr txBox="1">
          <a:spLocks noChangeArrowheads="1"/>
        </xdr:cNvSpPr>
      </xdr:nvSpPr>
      <xdr:spPr bwMode="auto">
        <a:xfrm>
          <a:off x="2562225" y="17106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87</xdr:row>
      <xdr:rowOff>0</xdr:rowOff>
    </xdr:from>
    <xdr:to>
      <xdr:col>1</xdr:col>
      <xdr:colOff>1930083</xdr:colOff>
      <xdr:row>87</xdr:row>
      <xdr:rowOff>0</xdr:rowOff>
    </xdr:to>
    <xdr:sp macro="" textlink="">
      <xdr:nvSpPr>
        <xdr:cNvPr id="4642" name="Text 48"/>
        <xdr:cNvSpPr txBox="1">
          <a:spLocks noChangeArrowheads="1"/>
        </xdr:cNvSpPr>
      </xdr:nvSpPr>
      <xdr:spPr bwMode="auto">
        <a:xfrm>
          <a:off x="2562225" y="17106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87</xdr:row>
      <xdr:rowOff>0</xdr:rowOff>
    </xdr:from>
    <xdr:to>
      <xdr:col>1</xdr:col>
      <xdr:colOff>1930083</xdr:colOff>
      <xdr:row>87</xdr:row>
      <xdr:rowOff>0</xdr:rowOff>
    </xdr:to>
    <xdr:sp macro="" textlink="">
      <xdr:nvSpPr>
        <xdr:cNvPr id="4643" name="Text 49"/>
        <xdr:cNvSpPr txBox="1">
          <a:spLocks noChangeArrowheads="1"/>
        </xdr:cNvSpPr>
      </xdr:nvSpPr>
      <xdr:spPr bwMode="auto">
        <a:xfrm>
          <a:off x="2562225" y="17106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87</xdr:row>
      <xdr:rowOff>0</xdr:rowOff>
    </xdr:from>
    <xdr:to>
      <xdr:col>1</xdr:col>
      <xdr:colOff>1930083</xdr:colOff>
      <xdr:row>87</xdr:row>
      <xdr:rowOff>0</xdr:rowOff>
    </xdr:to>
    <xdr:sp macro="" textlink="">
      <xdr:nvSpPr>
        <xdr:cNvPr id="4644" name="Text 50"/>
        <xdr:cNvSpPr txBox="1">
          <a:spLocks noChangeArrowheads="1"/>
        </xdr:cNvSpPr>
      </xdr:nvSpPr>
      <xdr:spPr bwMode="auto">
        <a:xfrm>
          <a:off x="2562225" y="17106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87</xdr:row>
      <xdr:rowOff>0</xdr:rowOff>
    </xdr:from>
    <xdr:to>
      <xdr:col>1</xdr:col>
      <xdr:colOff>1930083</xdr:colOff>
      <xdr:row>87</xdr:row>
      <xdr:rowOff>0</xdr:rowOff>
    </xdr:to>
    <xdr:sp macro="" textlink="">
      <xdr:nvSpPr>
        <xdr:cNvPr id="4645" name="Text 51"/>
        <xdr:cNvSpPr txBox="1">
          <a:spLocks noChangeArrowheads="1"/>
        </xdr:cNvSpPr>
      </xdr:nvSpPr>
      <xdr:spPr bwMode="auto">
        <a:xfrm>
          <a:off x="2562225" y="17106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646" name="Text 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4647" name="Text 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648" name="Text 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649" name="Text 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4650" name="Text 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651" name="Text 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652" name="Text 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653" name="Text 1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4654" name="Text 1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655" name="Text 1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656" name="Text 1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657" name="Text 1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658" name="Text 1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659" name="Text 2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660" name="Text 2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661" name="Text 2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662" name="Text 2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663" name="Text 2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664" name="Text 3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665" name="Text 3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666" name="Text 3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667" name="Text 3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668" name="Text 3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669" name="Text 4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4670" name="Text 43"/>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82</xdr:row>
      <xdr:rowOff>0</xdr:rowOff>
    </xdr:from>
    <xdr:to>
      <xdr:col>0</xdr:col>
      <xdr:colOff>708660</xdr:colOff>
      <xdr:row>82</xdr:row>
      <xdr:rowOff>0</xdr:rowOff>
    </xdr:to>
    <xdr:sp macro="" textlink="">
      <xdr:nvSpPr>
        <xdr:cNvPr id="4671" name="Text 44"/>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4672" name="Text 45"/>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4673" name="Text 46"/>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4674" name="Text 47"/>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4675" name="Text 48"/>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4676" name="Text 49"/>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4677" name="Text 50"/>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678" name="Text 5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679" name="Text 5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680" name="Text 5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681" name="Text 5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682" name="Text 5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683" name="Text 5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684" name="Text 57"/>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685" name="Text 5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686" name="Text 5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687" name="Text 6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688" name="Text 6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689" name="Text 6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690" name="Text 6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691" name="Text 6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692" name="Text 6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693" name="Text 6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694" name="Text 6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695" name="Text 6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696" name="Text 6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697" name="Text 7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698" name="Text 7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699" name="Text 7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700" name="Text 7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701" name="Text 7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702" name="Text 7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703" name="Text 7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704" name="Text 7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705" name="Text 7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706" name="Text 7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707" name="Text 8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708" name="Text 8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709" name="Text 8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710" name="Text 83"/>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711" name="Text 8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712" name="Text 8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713" name="Text 8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714" name="Text 8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715" name="Text 8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716" name="Text 8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717" name="Text 9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718" name="Text 9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719" name="Text 9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4720" name="Text 9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4721" name="Text 9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4722" name="Text 95"/>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75</xdr:row>
      <xdr:rowOff>0</xdr:rowOff>
    </xdr:from>
    <xdr:to>
      <xdr:col>1</xdr:col>
      <xdr:colOff>0</xdr:colOff>
      <xdr:row>75</xdr:row>
      <xdr:rowOff>0</xdr:rowOff>
    </xdr:to>
    <xdr:sp macro="" textlink="">
      <xdr:nvSpPr>
        <xdr:cNvPr id="4723" name="Text 96"/>
        <xdr:cNvSpPr txBox="1">
          <a:spLocks noChangeArrowheads="1"/>
        </xdr:cNvSpPr>
      </xdr:nvSpPr>
      <xdr:spPr bwMode="auto">
        <a:xfrm>
          <a:off x="685800" y="1470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4724" name="Text 97"/>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75</xdr:row>
      <xdr:rowOff>0</xdr:rowOff>
    </xdr:from>
    <xdr:to>
      <xdr:col>1</xdr:col>
      <xdr:colOff>0</xdr:colOff>
      <xdr:row>75</xdr:row>
      <xdr:rowOff>0</xdr:rowOff>
    </xdr:to>
    <xdr:sp macro="" textlink="">
      <xdr:nvSpPr>
        <xdr:cNvPr id="4725" name="Text 98"/>
        <xdr:cNvSpPr txBox="1">
          <a:spLocks noChangeArrowheads="1"/>
        </xdr:cNvSpPr>
      </xdr:nvSpPr>
      <xdr:spPr bwMode="auto">
        <a:xfrm>
          <a:off x="685800" y="1470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4726" name="Text 99"/>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4727" name="Text 100"/>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75</xdr:row>
      <xdr:rowOff>0</xdr:rowOff>
    </xdr:from>
    <xdr:to>
      <xdr:col>1</xdr:col>
      <xdr:colOff>0</xdr:colOff>
      <xdr:row>75</xdr:row>
      <xdr:rowOff>0</xdr:rowOff>
    </xdr:to>
    <xdr:sp macro="" textlink="">
      <xdr:nvSpPr>
        <xdr:cNvPr id="4728" name="Text 101"/>
        <xdr:cNvSpPr txBox="1">
          <a:spLocks noChangeArrowheads="1"/>
        </xdr:cNvSpPr>
      </xdr:nvSpPr>
      <xdr:spPr bwMode="auto">
        <a:xfrm>
          <a:off x="685800" y="1470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4729" name="Text 102"/>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4730" name="Text 103"/>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4731" name="Text 104"/>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75</xdr:row>
      <xdr:rowOff>0</xdr:rowOff>
    </xdr:from>
    <xdr:to>
      <xdr:col>1</xdr:col>
      <xdr:colOff>0</xdr:colOff>
      <xdr:row>75</xdr:row>
      <xdr:rowOff>0</xdr:rowOff>
    </xdr:to>
    <xdr:sp macro="" textlink="">
      <xdr:nvSpPr>
        <xdr:cNvPr id="4732" name="Text 105"/>
        <xdr:cNvSpPr txBox="1">
          <a:spLocks noChangeArrowheads="1"/>
        </xdr:cNvSpPr>
      </xdr:nvSpPr>
      <xdr:spPr bwMode="auto">
        <a:xfrm>
          <a:off x="685800" y="1470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4733" name="Text 106"/>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4734" name="Text 107"/>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4735" name="Text 108"/>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4736" name="Text 109"/>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75</xdr:row>
      <xdr:rowOff>0</xdr:rowOff>
    </xdr:from>
    <xdr:to>
      <xdr:col>1</xdr:col>
      <xdr:colOff>0</xdr:colOff>
      <xdr:row>75</xdr:row>
      <xdr:rowOff>0</xdr:rowOff>
    </xdr:to>
    <xdr:sp macro="" textlink="">
      <xdr:nvSpPr>
        <xdr:cNvPr id="4737" name="Text 110"/>
        <xdr:cNvSpPr txBox="1">
          <a:spLocks noChangeArrowheads="1"/>
        </xdr:cNvSpPr>
      </xdr:nvSpPr>
      <xdr:spPr bwMode="auto">
        <a:xfrm>
          <a:off x="685800" y="1470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4738" name="Text 111"/>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4739" name="Text 112"/>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4740" name="Text 113"/>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4741" name="Text 114"/>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4742" name="Text 115"/>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75</xdr:row>
      <xdr:rowOff>0</xdr:rowOff>
    </xdr:from>
    <xdr:to>
      <xdr:col>1</xdr:col>
      <xdr:colOff>0</xdr:colOff>
      <xdr:row>75</xdr:row>
      <xdr:rowOff>0</xdr:rowOff>
    </xdr:to>
    <xdr:sp macro="" textlink="">
      <xdr:nvSpPr>
        <xdr:cNvPr id="4743" name="Text 116"/>
        <xdr:cNvSpPr txBox="1">
          <a:spLocks noChangeArrowheads="1"/>
        </xdr:cNvSpPr>
      </xdr:nvSpPr>
      <xdr:spPr bwMode="auto">
        <a:xfrm>
          <a:off x="685800" y="1470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83</xdr:row>
      <xdr:rowOff>0</xdr:rowOff>
    </xdr:from>
    <xdr:to>
      <xdr:col>1</xdr:col>
      <xdr:colOff>0</xdr:colOff>
      <xdr:row>83</xdr:row>
      <xdr:rowOff>0</xdr:rowOff>
    </xdr:to>
    <xdr:sp macro="" textlink="">
      <xdr:nvSpPr>
        <xdr:cNvPr id="4744" name="Text 117"/>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83</xdr:row>
      <xdr:rowOff>0</xdr:rowOff>
    </xdr:from>
    <xdr:to>
      <xdr:col>0</xdr:col>
      <xdr:colOff>708660</xdr:colOff>
      <xdr:row>83</xdr:row>
      <xdr:rowOff>0</xdr:rowOff>
    </xdr:to>
    <xdr:sp macro="" textlink="">
      <xdr:nvSpPr>
        <xdr:cNvPr id="4745" name="Text 118"/>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83</xdr:row>
      <xdr:rowOff>0</xdr:rowOff>
    </xdr:from>
    <xdr:to>
      <xdr:col>1</xdr:col>
      <xdr:colOff>0</xdr:colOff>
      <xdr:row>83</xdr:row>
      <xdr:rowOff>0</xdr:rowOff>
    </xdr:to>
    <xdr:sp macro="" textlink="">
      <xdr:nvSpPr>
        <xdr:cNvPr id="4746" name="Text 119"/>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83</xdr:row>
      <xdr:rowOff>0</xdr:rowOff>
    </xdr:from>
    <xdr:to>
      <xdr:col>1</xdr:col>
      <xdr:colOff>0</xdr:colOff>
      <xdr:row>83</xdr:row>
      <xdr:rowOff>0</xdr:rowOff>
    </xdr:to>
    <xdr:sp macro="" textlink="">
      <xdr:nvSpPr>
        <xdr:cNvPr id="4747" name="Text 120"/>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83</xdr:row>
      <xdr:rowOff>0</xdr:rowOff>
    </xdr:from>
    <xdr:to>
      <xdr:col>1</xdr:col>
      <xdr:colOff>0</xdr:colOff>
      <xdr:row>83</xdr:row>
      <xdr:rowOff>0</xdr:rowOff>
    </xdr:to>
    <xdr:sp macro="" textlink="">
      <xdr:nvSpPr>
        <xdr:cNvPr id="4748" name="Text 121"/>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83</xdr:row>
      <xdr:rowOff>0</xdr:rowOff>
    </xdr:from>
    <xdr:to>
      <xdr:col>1</xdr:col>
      <xdr:colOff>0</xdr:colOff>
      <xdr:row>83</xdr:row>
      <xdr:rowOff>0</xdr:rowOff>
    </xdr:to>
    <xdr:sp macro="" textlink="">
      <xdr:nvSpPr>
        <xdr:cNvPr id="4749" name="Text 122"/>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83</xdr:row>
      <xdr:rowOff>0</xdr:rowOff>
    </xdr:from>
    <xdr:to>
      <xdr:col>1</xdr:col>
      <xdr:colOff>0</xdr:colOff>
      <xdr:row>83</xdr:row>
      <xdr:rowOff>0</xdr:rowOff>
    </xdr:to>
    <xdr:sp macro="" textlink="">
      <xdr:nvSpPr>
        <xdr:cNvPr id="4750" name="Text 123"/>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4751" name="Text 1"/>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78</xdr:row>
      <xdr:rowOff>0</xdr:rowOff>
    </xdr:from>
    <xdr:to>
      <xdr:col>1</xdr:col>
      <xdr:colOff>1930083</xdr:colOff>
      <xdr:row>78</xdr:row>
      <xdr:rowOff>0</xdr:rowOff>
    </xdr:to>
    <xdr:sp macro="" textlink="">
      <xdr:nvSpPr>
        <xdr:cNvPr id="4752" name="Text 3"/>
        <xdr:cNvSpPr txBox="1">
          <a:spLocks noChangeArrowheads="1"/>
        </xdr:cNvSpPr>
      </xdr:nvSpPr>
      <xdr:spPr bwMode="auto">
        <a:xfrm>
          <a:off x="2562225"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4753" name="Text 5"/>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78</xdr:row>
      <xdr:rowOff>0</xdr:rowOff>
    </xdr:from>
    <xdr:to>
      <xdr:col>1</xdr:col>
      <xdr:colOff>1930083</xdr:colOff>
      <xdr:row>78</xdr:row>
      <xdr:rowOff>0</xdr:rowOff>
    </xdr:to>
    <xdr:sp macro="" textlink="">
      <xdr:nvSpPr>
        <xdr:cNvPr id="4754" name="Text 7"/>
        <xdr:cNvSpPr txBox="1">
          <a:spLocks noChangeArrowheads="1"/>
        </xdr:cNvSpPr>
      </xdr:nvSpPr>
      <xdr:spPr bwMode="auto">
        <a:xfrm>
          <a:off x="2562225"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4755" name="Text 9"/>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4756" name="Text 11"/>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78</xdr:row>
      <xdr:rowOff>0</xdr:rowOff>
    </xdr:from>
    <xdr:to>
      <xdr:col>1</xdr:col>
      <xdr:colOff>1930083</xdr:colOff>
      <xdr:row>78</xdr:row>
      <xdr:rowOff>0</xdr:rowOff>
    </xdr:to>
    <xdr:sp macro="" textlink="">
      <xdr:nvSpPr>
        <xdr:cNvPr id="4757" name="Text 13"/>
        <xdr:cNvSpPr txBox="1">
          <a:spLocks noChangeArrowheads="1"/>
        </xdr:cNvSpPr>
      </xdr:nvSpPr>
      <xdr:spPr bwMode="auto">
        <a:xfrm>
          <a:off x="2562225"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4758" name="Text 15"/>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4759" name="Text 17"/>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4760" name="Text 19"/>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78</xdr:row>
      <xdr:rowOff>0</xdr:rowOff>
    </xdr:from>
    <xdr:to>
      <xdr:col>1</xdr:col>
      <xdr:colOff>1930083</xdr:colOff>
      <xdr:row>78</xdr:row>
      <xdr:rowOff>0</xdr:rowOff>
    </xdr:to>
    <xdr:sp macro="" textlink="">
      <xdr:nvSpPr>
        <xdr:cNvPr id="4761" name="Text 21"/>
        <xdr:cNvSpPr txBox="1">
          <a:spLocks noChangeArrowheads="1"/>
        </xdr:cNvSpPr>
      </xdr:nvSpPr>
      <xdr:spPr bwMode="auto">
        <a:xfrm>
          <a:off x="2562225"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4762" name="Text 23"/>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4763" name="Text 25"/>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4764" name="Text 27"/>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4765" name="Text 29"/>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78</xdr:row>
      <xdr:rowOff>0</xdr:rowOff>
    </xdr:from>
    <xdr:to>
      <xdr:col>1</xdr:col>
      <xdr:colOff>1930083</xdr:colOff>
      <xdr:row>78</xdr:row>
      <xdr:rowOff>0</xdr:rowOff>
    </xdr:to>
    <xdr:sp macro="" textlink="">
      <xdr:nvSpPr>
        <xdr:cNvPr id="4766" name="Text 31"/>
        <xdr:cNvSpPr txBox="1">
          <a:spLocks noChangeArrowheads="1"/>
        </xdr:cNvSpPr>
      </xdr:nvSpPr>
      <xdr:spPr bwMode="auto">
        <a:xfrm>
          <a:off x="2562225"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4767" name="Text 33"/>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4768" name="Text 35"/>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4769" name="Text 37"/>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4770" name="Text 39"/>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4771" name="Text 41"/>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78</xdr:row>
      <xdr:rowOff>0</xdr:rowOff>
    </xdr:from>
    <xdr:to>
      <xdr:col>1</xdr:col>
      <xdr:colOff>1930083</xdr:colOff>
      <xdr:row>78</xdr:row>
      <xdr:rowOff>0</xdr:rowOff>
    </xdr:to>
    <xdr:sp macro="" textlink="">
      <xdr:nvSpPr>
        <xdr:cNvPr id="4772" name="Text 43"/>
        <xdr:cNvSpPr txBox="1">
          <a:spLocks noChangeArrowheads="1"/>
        </xdr:cNvSpPr>
      </xdr:nvSpPr>
      <xdr:spPr bwMode="auto">
        <a:xfrm>
          <a:off x="2562225"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87</xdr:row>
      <xdr:rowOff>0</xdr:rowOff>
    </xdr:from>
    <xdr:to>
      <xdr:col>1</xdr:col>
      <xdr:colOff>1930083</xdr:colOff>
      <xdr:row>87</xdr:row>
      <xdr:rowOff>0</xdr:rowOff>
    </xdr:to>
    <xdr:sp macro="" textlink="">
      <xdr:nvSpPr>
        <xdr:cNvPr id="4773" name="Text 45"/>
        <xdr:cNvSpPr txBox="1">
          <a:spLocks noChangeArrowheads="1"/>
        </xdr:cNvSpPr>
      </xdr:nvSpPr>
      <xdr:spPr bwMode="auto">
        <a:xfrm>
          <a:off x="2562225" y="17106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1607820</xdr:colOff>
      <xdr:row>87</xdr:row>
      <xdr:rowOff>0</xdr:rowOff>
    </xdr:from>
    <xdr:to>
      <xdr:col>1</xdr:col>
      <xdr:colOff>1922145</xdr:colOff>
      <xdr:row>87</xdr:row>
      <xdr:rowOff>0</xdr:rowOff>
    </xdr:to>
    <xdr:sp macro="" textlink="">
      <xdr:nvSpPr>
        <xdr:cNvPr id="4774" name="Text 46"/>
        <xdr:cNvSpPr txBox="1">
          <a:spLocks noChangeArrowheads="1"/>
        </xdr:cNvSpPr>
      </xdr:nvSpPr>
      <xdr:spPr bwMode="auto">
        <a:xfrm>
          <a:off x="2247900" y="1710690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1</xdr:col>
      <xdr:colOff>1922145</xdr:colOff>
      <xdr:row>87</xdr:row>
      <xdr:rowOff>0</xdr:rowOff>
    </xdr:from>
    <xdr:to>
      <xdr:col>1</xdr:col>
      <xdr:colOff>1930083</xdr:colOff>
      <xdr:row>87</xdr:row>
      <xdr:rowOff>0</xdr:rowOff>
    </xdr:to>
    <xdr:sp macro="" textlink="">
      <xdr:nvSpPr>
        <xdr:cNvPr id="4775" name="Text 47"/>
        <xdr:cNvSpPr txBox="1">
          <a:spLocks noChangeArrowheads="1"/>
        </xdr:cNvSpPr>
      </xdr:nvSpPr>
      <xdr:spPr bwMode="auto">
        <a:xfrm>
          <a:off x="2562225" y="17106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87</xdr:row>
      <xdr:rowOff>0</xdr:rowOff>
    </xdr:from>
    <xdr:to>
      <xdr:col>1</xdr:col>
      <xdr:colOff>1930083</xdr:colOff>
      <xdr:row>87</xdr:row>
      <xdr:rowOff>0</xdr:rowOff>
    </xdr:to>
    <xdr:sp macro="" textlink="">
      <xdr:nvSpPr>
        <xdr:cNvPr id="4776" name="Text 48"/>
        <xdr:cNvSpPr txBox="1">
          <a:spLocks noChangeArrowheads="1"/>
        </xdr:cNvSpPr>
      </xdr:nvSpPr>
      <xdr:spPr bwMode="auto">
        <a:xfrm>
          <a:off x="2562225" y="17106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87</xdr:row>
      <xdr:rowOff>0</xdr:rowOff>
    </xdr:from>
    <xdr:to>
      <xdr:col>1</xdr:col>
      <xdr:colOff>1930083</xdr:colOff>
      <xdr:row>87</xdr:row>
      <xdr:rowOff>0</xdr:rowOff>
    </xdr:to>
    <xdr:sp macro="" textlink="">
      <xdr:nvSpPr>
        <xdr:cNvPr id="4777" name="Text 49"/>
        <xdr:cNvSpPr txBox="1">
          <a:spLocks noChangeArrowheads="1"/>
        </xdr:cNvSpPr>
      </xdr:nvSpPr>
      <xdr:spPr bwMode="auto">
        <a:xfrm>
          <a:off x="2562225" y="17106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87</xdr:row>
      <xdr:rowOff>0</xdr:rowOff>
    </xdr:from>
    <xdr:to>
      <xdr:col>1</xdr:col>
      <xdr:colOff>1930083</xdr:colOff>
      <xdr:row>87</xdr:row>
      <xdr:rowOff>0</xdr:rowOff>
    </xdr:to>
    <xdr:sp macro="" textlink="">
      <xdr:nvSpPr>
        <xdr:cNvPr id="4778" name="Text 50"/>
        <xdr:cNvSpPr txBox="1">
          <a:spLocks noChangeArrowheads="1"/>
        </xdr:cNvSpPr>
      </xdr:nvSpPr>
      <xdr:spPr bwMode="auto">
        <a:xfrm>
          <a:off x="2562225" y="17106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87</xdr:row>
      <xdr:rowOff>0</xdr:rowOff>
    </xdr:from>
    <xdr:to>
      <xdr:col>1</xdr:col>
      <xdr:colOff>1930083</xdr:colOff>
      <xdr:row>87</xdr:row>
      <xdr:rowOff>0</xdr:rowOff>
    </xdr:to>
    <xdr:sp macro="" textlink="">
      <xdr:nvSpPr>
        <xdr:cNvPr id="4779" name="Text 51"/>
        <xdr:cNvSpPr txBox="1">
          <a:spLocks noChangeArrowheads="1"/>
        </xdr:cNvSpPr>
      </xdr:nvSpPr>
      <xdr:spPr bwMode="auto">
        <a:xfrm>
          <a:off x="2562225" y="17106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1914525</xdr:colOff>
      <xdr:row>78</xdr:row>
      <xdr:rowOff>0</xdr:rowOff>
    </xdr:from>
    <xdr:to>
      <xdr:col>1</xdr:col>
      <xdr:colOff>0</xdr:colOff>
      <xdr:row>78</xdr:row>
      <xdr:rowOff>0</xdr:rowOff>
    </xdr:to>
    <xdr:sp macro="" textlink="">
      <xdr:nvSpPr>
        <xdr:cNvPr id="5121" name="Text 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122" name="Text 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123" name="Text 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124" name="Text 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125" name="Text 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126" name="Text 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127" name="Text 1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128" name="Text 13"/>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129" name="Text 1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130" name="Text 1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131" name="Text 1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132" name="Text 1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133" name="Text 2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134" name="Text 23"/>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135" name="Text 2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136" name="Text 2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137" name="Text 2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138" name="Text 2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139" name="Text 3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140" name="Text 3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141" name="Text 3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142" name="Text 3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5143" name="Text 37"/>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5144" name="Text 39"/>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5145" name="Text 40"/>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5146" name="Text 41"/>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5147" name="Text 42"/>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148" name="Text 4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149" name="Text 4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150" name="Text 4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151" name="Text 4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152" name="Text 4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153" name="Text 4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154" name="Text 4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155" name="Text 5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156" name="Text 5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157" name="Text 5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158" name="Text 53"/>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159" name="Text 5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160" name="Text 5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161" name="Text 5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162" name="Text 5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163" name="Text 5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164" name="Text 5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165" name="Text 6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166" name="Text 6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167" name="Text 6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168" name="Text 6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169" name="Text 6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170" name="Text 6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171" name="Text 6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172" name="Text 67"/>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173" name="Text 6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174" name="Text 6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175" name="Text 7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176" name="Text 7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177" name="Text 7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178" name="Text 7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179" name="Text 7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180" name="Text 7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181" name="Text 7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182" name="Text 7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183" name="Text 7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184" name="Text 7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185" name="Text 8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186" name="Text 8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187" name="Text 8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188" name="Text 8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189" name="Text 8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190" name="Text 8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191" name="Text 8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192" name="Text 87"/>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193" name="Text 8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194" name="Text 8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195" name="Text 9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196" name="Text 9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197" name="Text 9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198" name="Text 93"/>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199" name="Text 9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00" name="Text 9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201" name="Text 9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02" name="Text 9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203" name="Text 9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04" name="Text 9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05" name="Text 10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206" name="Text 10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07" name="Text 10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08" name="Text 10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09" name="Text 10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210" name="Text 10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11" name="Text 10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12" name="Text 10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13" name="Text 10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14" name="Text 10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215" name="Text 11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16" name="Text 11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17" name="Text 11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18" name="Text 11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19" name="Text 11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20" name="Text 11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221" name="Text 11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22" name="Text 11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223" name="Text 11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224" name="Text 11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25" name="Text 12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26" name="Text 12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227" name="Text 12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228" name="Text 123"/>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29" name="Text 12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30" name="Text 12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31" name="Text 12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232" name="Text 127"/>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233" name="Text 12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34" name="Text 12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35" name="Text 13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36" name="Text 13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37" name="Text 13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238" name="Text 133"/>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239" name="Text 13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40" name="Text 13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41" name="Text 13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42" name="Text 13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43" name="Text 13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44" name="Text 13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245" name="Text 14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246" name="Text 14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247" name="Text 14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248" name="Text 143"/>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49" name="Text 14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250" name="Text 14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251" name="Text 14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52" name="Text 14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53" name="Text 14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254" name="Text 14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255" name="Text 15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56" name="Text 15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57" name="Text 15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58" name="Text 15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259" name="Text 15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260" name="Text 15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61" name="Text 15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62" name="Text 15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63" name="Text 15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64" name="Text 15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265" name="Text 16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266" name="Text 16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67" name="Text 16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68" name="Text 16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69" name="Text 16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70" name="Text 16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71" name="Text 16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272" name="Text 167"/>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273" name="Text 16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74" name="Text 16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275" name="Text 17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76" name="Text 17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277" name="Text 17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78" name="Text 17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79" name="Text 17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280" name="Text 17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81" name="Text 17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82" name="Text 17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83" name="Text 17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284" name="Text 17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85" name="Text 18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86" name="Text 18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87" name="Text 18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88" name="Text 18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289" name="Text 18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90" name="Text 18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91" name="Text 18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92" name="Text 18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93" name="Text 18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94" name="Text 18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295" name="Text 19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296" name="Text 19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297" name="Text 19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298" name="Text 19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299" name="Text 19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300" name="Text 19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01" name="Text 19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02" name="Text 19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303" name="Text 19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304" name="Text 19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05" name="Text 20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06" name="Text 20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07" name="Text 20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308" name="Text 203"/>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09" name="Text 20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10" name="Text 20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11" name="Text 20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12" name="Text 20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313" name="Text 20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14" name="Text 20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15" name="Text 21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16" name="Text 21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17" name="Text 21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18" name="Text 21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319" name="Text 21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20" name="Text 21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321" name="Text 21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22" name="Text 21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323" name="Text 21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24" name="Text 21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25" name="Text 22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326" name="Text 22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27" name="Text 22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28" name="Text 22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29" name="Text 22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330" name="Text 22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31" name="Text 22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32" name="Text 22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33" name="Text 22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34" name="Text 22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335" name="Text 23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36" name="Text 23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37" name="Text 23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38" name="Text 23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39" name="Text 23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40" name="Text 23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341" name="Text 23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42" name="Text 23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343" name="Text 23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344" name="Text 23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45" name="Text 24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46" name="Text 24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347" name="Text 24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348" name="Text 243"/>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49" name="Text 24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50" name="Text 24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51" name="Text 24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352" name="Text 247"/>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353" name="Text 24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54" name="Text 24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55" name="Text 25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56" name="Text 25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57" name="Text 25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358" name="Text 253"/>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359" name="Text 25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60" name="Text 25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61" name="Text 25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62" name="Text 25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63" name="Text 25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64" name="Text 25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365" name="Text 26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366" name="Text 26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367" name="Text 26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368" name="Text 263"/>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69" name="Text 26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370" name="Text 26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371" name="Text 26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72" name="Text 26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73" name="Text 26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374" name="Text 26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375" name="Text 27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76" name="Text 27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77" name="Text 27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78" name="Text 27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379" name="Text 27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380" name="Text 27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81" name="Text 27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82" name="Text 27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83" name="Text 27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84" name="Text 27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385" name="Text 28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386" name="Text 28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87" name="Text 28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88" name="Text 28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89" name="Text 28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90" name="Text 28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91" name="Text 28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392" name="Text 287"/>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393" name="Text 28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94" name="Text 28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395" name="Text 29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96" name="Text 29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397" name="Text 29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98" name="Text 29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399" name="Text 29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400" name="Text 29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01" name="Text 29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02" name="Text 29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03" name="Text 29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404" name="Text 29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05" name="Text 30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06" name="Text 30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07" name="Text 30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08" name="Text 30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409" name="Text 30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10" name="Text 30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11" name="Text 30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12" name="Text 30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13" name="Text 30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14" name="Text 30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415" name="Text 31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416" name="Text 31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417" name="Text 31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18" name="Text 31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419" name="Text 31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420" name="Text 31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21" name="Text 31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22" name="Text 31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423" name="Text 31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424" name="Text 31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25" name="Text 32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26" name="Text 32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27" name="Text 32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428" name="Text 323"/>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29" name="Text 32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30" name="Text 32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31" name="Text 32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32" name="Text 32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433" name="Text 32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34" name="Text 32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35" name="Text 33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36" name="Text 33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37" name="Text 33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38" name="Text 33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439" name="Text 33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40" name="Text 33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441" name="Text 33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42" name="Text 33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443" name="Text 33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44" name="Text 33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45" name="Text 34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446" name="Text 34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47" name="Text 34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48" name="Text 34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49" name="Text 34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450" name="Text 34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51" name="Text 34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52" name="Text 34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53" name="Text 34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54" name="Text 34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455" name="Text 35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56" name="Text 35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57" name="Text 35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58" name="Text 35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59" name="Text 35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60" name="Text 35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461" name="Text 35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462" name="Text 357"/>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463" name="Text 35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64" name="Text 35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465" name="Text 36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466" name="Text 36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67" name="Text 36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68" name="Text 36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469" name="Text 36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470" name="Text 36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71" name="Text 36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72" name="Text 36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73" name="Text 36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474" name="Text 36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75" name="Text 37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76" name="Text 37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77" name="Text 37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78" name="Text 37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479" name="Text 37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80" name="Text 37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81" name="Text 37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82" name="Text 37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83" name="Text 37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84" name="Text 37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485" name="Text 38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86" name="Text 38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487" name="Text 38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88" name="Text 38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489" name="Text 38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90" name="Text 38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91" name="Text 38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492" name="Text 387"/>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93" name="Text 38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94" name="Text 38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95" name="Text 39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496" name="Text 39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97" name="Text 39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98" name="Text 39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499" name="Text 39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00" name="Text 39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501" name="Text 39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02" name="Text 39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03" name="Text 39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04" name="Text 39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05" name="Text 40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06" name="Text 40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507" name="Text 40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508" name="Text 403"/>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509" name="Text 40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10" name="Text 40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511" name="Text 40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512" name="Text 407"/>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13" name="Text 40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14" name="Text 40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515" name="Text 41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516" name="Text 41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17" name="Text 41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18" name="Text 41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19" name="Text 41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520" name="Text 41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21" name="Text 41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22" name="Text 41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23" name="Text 41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24" name="Text 41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525" name="Text 42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26" name="Text 42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27" name="Text 42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28" name="Text 42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29" name="Text 42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30" name="Text 42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531" name="Text 42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32" name="Text 42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533" name="Text 42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34" name="Text 42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535" name="Text 43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36" name="Text 43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37" name="Text 43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538" name="Text 433"/>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39" name="Text 43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40" name="Text 43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41" name="Text 43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542" name="Text 437"/>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43" name="Text 43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44" name="Text 43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45" name="Text 44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46" name="Text 44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547" name="Text 44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48" name="Text 44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49" name="Text 44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50" name="Text 44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51" name="Text 44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52" name="Text 44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553" name="Text 44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54" name="Text 44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555" name="Text 45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56" name="Text 45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557" name="Text 45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58" name="Text 45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59" name="Text 45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560" name="Text 45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61" name="Text 45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62" name="Text 45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63" name="Text 45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564" name="Text 45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65" name="Text 46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66" name="Text 46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67" name="Text 46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68" name="Text 46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569" name="Text 46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70" name="Text 46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71" name="Text 46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72" name="Text 46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73" name="Text 46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74" name="Text 46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575" name="Text 47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576" name="Text 47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577" name="Text 47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78" name="Text 47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579" name="Text 47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580" name="Text 47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81" name="Text 47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82" name="Text 47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583" name="Text 47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584" name="Text 47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85" name="Text 48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86" name="Text 48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87" name="Text 48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588" name="Text 483"/>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89" name="Text 48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90" name="Text 48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91" name="Text 48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92" name="Text 48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593" name="Text 48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94" name="Text 48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95" name="Text 49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96" name="Text 49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97" name="Text 49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598" name="Text 49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599" name="Text 49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00" name="Text 49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601" name="Text 49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02" name="Text 49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603" name="Text 49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04" name="Text 49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05" name="Text 50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606" name="Text 50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07" name="Text 50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08" name="Text 50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09" name="Text 50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610" name="Text 50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11" name="Text 50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12" name="Text 50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13" name="Text 50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14" name="Text 50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615" name="Text 51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16" name="Text 51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17" name="Text 51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18" name="Text 51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19" name="Text 51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20" name="Text 51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621" name="Text 51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22" name="Text 51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623" name="Text 51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24" name="Text 51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625" name="Text 52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26" name="Text 52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27" name="Text 52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628" name="Text 523"/>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29" name="Text 52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30" name="Text 52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31" name="Text 52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632" name="Text 527"/>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33" name="Text 52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34" name="Text 52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35" name="Text 53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36" name="Text 53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637" name="Text 53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38" name="Text 53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39" name="Text 53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40" name="Text 53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41" name="Text 53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42" name="Text 53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643" name="Text 53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704850</xdr:colOff>
      <xdr:row>82</xdr:row>
      <xdr:rowOff>0</xdr:rowOff>
    </xdr:from>
    <xdr:to>
      <xdr:col>1</xdr:col>
      <xdr:colOff>493464</xdr:colOff>
      <xdr:row>82</xdr:row>
      <xdr:rowOff>0</xdr:rowOff>
    </xdr:to>
    <xdr:sp macro="" textlink="">
      <xdr:nvSpPr>
        <xdr:cNvPr id="5644" name="Text 539"/>
        <xdr:cNvSpPr txBox="1">
          <a:spLocks noChangeArrowheads="1"/>
        </xdr:cNvSpPr>
      </xdr:nvSpPr>
      <xdr:spPr bwMode="auto">
        <a:xfrm>
          <a:off x="685800" y="16106775"/>
          <a:ext cx="48577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45" name="Text 54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646" name="Text 54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647" name="Text 54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48" name="Text 54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49" name="Text 54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650" name="Text 54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651" name="Text 54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52" name="Text 54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53" name="Text 54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54" name="Text 54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655" name="Text 55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656" name="Text 55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57" name="Text 55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58" name="Text 55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59" name="Text 55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60" name="Text 55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661" name="Text 55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662" name="Text 557"/>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63" name="Text 55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64" name="Text 55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65" name="Text 56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66" name="Text 56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67" name="Text 56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668" name="Text 563"/>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669" name="Text 56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5670" name="Text 565"/>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82</xdr:row>
      <xdr:rowOff>0</xdr:rowOff>
    </xdr:from>
    <xdr:to>
      <xdr:col>0</xdr:col>
      <xdr:colOff>708660</xdr:colOff>
      <xdr:row>82</xdr:row>
      <xdr:rowOff>0</xdr:rowOff>
    </xdr:to>
    <xdr:sp macro="" textlink="">
      <xdr:nvSpPr>
        <xdr:cNvPr id="5671" name="Text 566"/>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5672" name="Text 567"/>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5673" name="Text 568"/>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5674" name="Text 569"/>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5675" name="Text 570"/>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5676" name="Text 571"/>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677" name="Text 57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678" name="Text 573"/>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79" name="Text 57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680" name="Text 57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681" name="Text 57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82" name="Text 57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83" name="Text 57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684" name="Text 57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685" name="Text 58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86" name="Text 58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87" name="Text 58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88" name="Text 58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689" name="Text 58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690" name="Text 58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91" name="Text 58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92" name="Text 58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93" name="Text 58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94" name="Text 58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695" name="Text 59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696" name="Text 59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97" name="Text 59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98" name="Text 59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699" name="Text 59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00" name="Text 59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01" name="Text 59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702" name="Text 597"/>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703" name="Text 59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04" name="Text 59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705" name="Text 60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06" name="Text 60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707" name="Text 60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08" name="Text 60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09" name="Text 60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710" name="Text 60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11" name="Text 60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12" name="Text 60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13" name="Text 60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714" name="Text 60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15" name="Text 61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16" name="Text 61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17" name="Text 61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18" name="Text 61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719" name="Text 61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20" name="Text 61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21" name="Text 61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22" name="Text 61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23" name="Text 61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24" name="Text 61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725" name="Text 62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726" name="Text 62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727" name="Text 62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28" name="Text 62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729" name="Text 62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730" name="Text 62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31" name="Text 62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32" name="Text 62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733" name="Text 62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734" name="Text 62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35" name="Text 63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36" name="Text 63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37" name="Text 63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738" name="Text 633"/>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39" name="Text 63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40" name="Text 63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41" name="Text 63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42" name="Text 63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743" name="Text 63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44" name="Text 63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45" name="Text 64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46" name="Text 64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47" name="Text 64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48" name="Text 64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749" name="Text 64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50" name="Text 64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751" name="Text 64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52" name="Text 64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753" name="Text 64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54" name="Text 64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55" name="Text 65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756" name="Text 65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57" name="Text 65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58" name="Text 65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59" name="Text 65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760" name="Text 65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61" name="Text 65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62" name="Text 65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63" name="Text 65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64" name="Text 65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765" name="Text 66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66" name="Text 66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67" name="Text 66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68" name="Text 66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69" name="Text 66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70" name="Text 66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771" name="Text 66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772" name="Text 667"/>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773" name="Text 66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74" name="Text 66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775" name="Text 67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776" name="Text 67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77" name="Text 67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78" name="Text 67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779" name="Text 67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780" name="Text 67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81" name="Text 67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82" name="Text 67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83" name="Text 67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784" name="Text 67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85" name="Text 68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86" name="Text 68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87" name="Text 68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88" name="Text 68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789" name="Text 68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90" name="Text 68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91" name="Text 68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92" name="Text 68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93" name="Text 68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94" name="Text 68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795" name="Text 69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96" name="Text 69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797" name="Text 69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798" name="Text 69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799" name="Text 69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00" name="Text 69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01" name="Text 69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802" name="Text 697"/>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03" name="Text 69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04" name="Text 69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05" name="Text 70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806" name="Text 70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07" name="Text 70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08" name="Text 70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09" name="Text 70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10" name="Text 70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811" name="Text 70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12" name="Text 70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13" name="Text 70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14" name="Text 70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15" name="Text 71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16" name="Text 71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817" name="Text 71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818" name="Text 713"/>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819" name="Text 71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20" name="Text 71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821" name="Text 71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822" name="Text 717"/>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23" name="Text 71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24" name="Text 71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825" name="Text 72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826" name="Text 72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27" name="Text 72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28" name="Text 72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29" name="Text 72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830" name="Text 72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31" name="Text 72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32" name="Text 72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33" name="Text 72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34" name="Text 72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835" name="Text 73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36" name="Text 73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37" name="Text 73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38" name="Text 73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39" name="Text 73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40" name="Text 73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841" name="Text 73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42" name="Text 73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843" name="Text 73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44" name="Text 73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845" name="Text 74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46" name="Text 74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47" name="Text 74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848" name="Text 743"/>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49" name="Text 74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50" name="Text 74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51" name="Text 74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852" name="Text 747"/>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53" name="Text 74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54" name="Text 74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55" name="Text 75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56" name="Text 75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857" name="Text 75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58" name="Text 75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59" name="Text 75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60" name="Text 75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61" name="Text 75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62" name="Text 75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863" name="Text 75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64" name="Text 75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865" name="Text 76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66" name="Text 76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867" name="Text 76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68" name="Text 76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69" name="Text 76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870" name="Text 76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71" name="Text 76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72" name="Text 76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73" name="Text 76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874" name="Text 76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75" name="Text 77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76" name="Text 77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77" name="Text 77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78" name="Text 77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879" name="Text 77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80" name="Text 77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81" name="Text 77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82" name="Text 77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83" name="Text 77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84" name="Text 77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885" name="Text 78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886" name="Text 78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887" name="Text 78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88" name="Text 78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889" name="Text 78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890" name="Text 78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91" name="Text 78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92" name="Text 78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893" name="Text 78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894" name="Text 78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95" name="Text 79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96" name="Text 79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97" name="Text 79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898" name="Text 793"/>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899" name="Text 79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00" name="Text 79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01" name="Text 79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02" name="Text 79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903" name="Text 79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04" name="Text 79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05" name="Text 80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06" name="Text 80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07" name="Text 80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08" name="Text 80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909" name="Text 80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10" name="Text 80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911" name="Text 80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12" name="Text 80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913" name="Text 80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14" name="Text 80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15" name="Text 81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916" name="Text 81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17" name="Text 81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18" name="Text 81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19" name="Text 81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920" name="Text 81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21" name="Text 81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22" name="Text 81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23" name="Text 81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24" name="Text 81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925" name="Text 82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26" name="Text 82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27" name="Text 82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28" name="Text 82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29" name="Text 82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30" name="Text 82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931" name="Text 82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32" name="Text 82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933" name="Text 82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34" name="Text 82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935" name="Text 83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36" name="Text 83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37" name="Text 83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938" name="Text 833"/>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39" name="Text 83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40" name="Text 83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41" name="Text 83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942" name="Text 837"/>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43" name="Text 83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44" name="Text 83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45" name="Text 84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46" name="Text 84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947" name="Text 84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48" name="Text 84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49" name="Text 84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50" name="Text 84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51" name="Text 84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52" name="Text 84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953" name="Text 84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954" name="Text 84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955" name="Text 85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56" name="Text 85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957" name="Text 85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958" name="Text 853"/>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59" name="Text 85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60" name="Text 85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961" name="Text 85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5962" name="Text 857"/>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63" name="Text 85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64" name="Text 85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65" name="Text 86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966" name="Text 86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67" name="Text 86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68" name="Text 86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69" name="Text 86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70" name="Text 86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971" name="Text 86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72" name="Text 86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73" name="Text 86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74" name="Text 86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75" name="Text 87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76" name="Text 87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977" name="Text 87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5978" name="Text 873"/>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82</xdr:row>
      <xdr:rowOff>0</xdr:rowOff>
    </xdr:from>
    <xdr:to>
      <xdr:col>0</xdr:col>
      <xdr:colOff>708660</xdr:colOff>
      <xdr:row>82</xdr:row>
      <xdr:rowOff>0</xdr:rowOff>
    </xdr:to>
    <xdr:sp macro="" textlink="">
      <xdr:nvSpPr>
        <xdr:cNvPr id="5979" name="Text 874"/>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5980" name="Text 875"/>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5981" name="Text 876"/>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5982" name="Text 877"/>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5983" name="Text 878"/>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5984" name="Text 879"/>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5985" name="Text 880"/>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86" name="Text 88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987" name="Text 88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88" name="Text 88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989" name="Text 88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90" name="Text 88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91" name="Text 88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992" name="Text 887"/>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93" name="Text 88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94" name="Text 88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95" name="Text 89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5996" name="Text 89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97" name="Text 89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98" name="Text 89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5999" name="Text 89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000" name="Text 89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001" name="Text 89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002" name="Text 89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003" name="Text 89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004" name="Text 89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005" name="Text 90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006" name="Text 90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007" name="Text 90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008" name="Text 90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009" name="Text 90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010" name="Text 90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011" name="Text 90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012" name="Text 90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013" name="Text 90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014" name="Text 90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015" name="Text 91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016" name="Text 91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017" name="Text 91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018" name="Text 913"/>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019" name="Text 91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020" name="Text 91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021" name="Text 91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022" name="Text 91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023" name="Text 91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024" name="Text 91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025" name="Text 92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026" name="Text 92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027" name="Text 92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028" name="Text 92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029" name="Text 92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030" name="Text 925"/>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75</xdr:row>
      <xdr:rowOff>0</xdr:rowOff>
    </xdr:from>
    <xdr:to>
      <xdr:col>1</xdr:col>
      <xdr:colOff>0</xdr:colOff>
      <xdr:row>75</xdr:row>
      <xdr:rowOff>0</xdr:rowOff>
    </xdr:to>
    <xdr:sp macro="" textlink="">
      <xdr:nvSpPr>
        <xdr:cNvPr id="6031" name="Text 926"/>
        <xdr:cNvSpPr txBox="1">
          <a:spLocks noChangeArrowheads="1"/>
        </xdr:cNvSpPr>
      </xdr:nvSpPr>
      <xdr:spPr bwMode="auto">
        <a:xfrm>
          <a:off x="685800" y="1470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032" name="Text 927"/>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75</xdr:row>
      <xdr:rowOff>0</xdr:rowOff>
    </xdr:from>
    <xdr:to>
      <xdr:col>1</xdr:col>
      <xdr:colOff>0</xdr:colOff>
      <xdr:row>75</xdr:row>
      <xdr:rowOff>0</xdr:rowOff>
    </xdr:to>
    <xdr:sp macro="" textlink="">
      <xdr:nvSpPr>
        <xdr:cNvPr id="6033" name="Text 928"/>
        <xdr:cNvSpPr txBox="1">
          <a:spLocks noChangeArrowheads="1"/>
        </xdr:cNvSpPr>
      </xdr:nvSpPr>
      <xdr:spPr bwMode="auto">
        <a:xfrm>
          <a:off x="685800" y="1470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034" name="Text 929"/>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035" name="Text 930"/>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75</xdr:row>
      <xdr:rowOff>0</xdr:rowOff>
    </xdr:from>
    <xdr:to>
      <xdr:col>1</xdr:col>
      <xdr:colOff>0</xdr:colOff>
      <xdr:row>75</xdr:row>
      <xdr:rowOff>0</xdr:rowOff>
    </xdr:to>
    <xdr:sp macro="" textlink="">
      <xdr:nvSpPr>
        <xdr:cNvPr id="6036" name="Text 931"/>
        <xdr:cNvSpPr txBox="1">
          <a:spLocks noChangeArrowheads="1"/>
        </xdr:cNvSpPr>
      </xdr:nvSpPr>
      <xdr:spPr bwMode="auto">
        <a:xfrm>
          <a:off x="685800" y="1470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037" name="Text 932"/>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038" name="Text 933"/>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039" name="Text 934"/>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75</xdr:row>
      <xdr:rowOff>0</xdr:rowOff>
    </xdr:from>
    <xdr:to>
      <xdr:col>1</xdr:col>
      <xdr:colOff>0</xdr:colOff>
      <xdr:row>75</xdr:row>
      <xdr:rowOff>0</xdr:rowOff>
    </xdr:to>
    <xdr:sp macro="" textlink="">
      <xdr:nvSpPr>
        <xdr:cNvPr id="6040" name="Text 935"/>
        <xdr:cNvSpPr txBox="1">
          <a:spLocks noChangeArrowheads="1"/>
        </xdr:cNvSpPr>
      </xdr:nvSpPr>
      <xdr:spPr bwMode="auto">
        <a:xfrm>
          <a:off x="685800" y="1470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041" name="Text 936"/>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042" name="Text 937"/>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043" name="Text 938"/>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044" name="Text 939"/>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75</xdr:row>
      <xdr:rowOff>0</xdr:rowOff>
    </xdr:from>
    <xdr:to>
      <xdr:col>1</xdr:col>
      <xdr:colOff>0</xdr:colOff>
      <xdr:row>75</xdr:row>
      <xdr:rowOff>0</xdr:rowOff>
    </xdr:to>
    <xdr:sp macro="" textlink="">
      <xdr:nvSpPr>
        <xdr:cNvPr id="6045" name="Text 940"/>
        <xdr:cNvSpPr txBox="1">
          <a:spLocks noChangeArrowheads="1"/>
        </xdr:cNvSpPr>
      </xdr:nvSpPr>
      <xdr:spPr bwMode="auto">
        <a:xfrm>
          <a:off x="685800" y="1470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046" name="Text 941"/>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047" name="Text 942"/>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048" name="Text 943"/>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049" name="Text 944"/>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050" name="Text 945"/>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75</xdr:row>
      <xdr:rowOff>0</xdr:rowOff>
    </xdr:from>
    <xdr:to>
      <xdr:col>1</xdr:col>
      <xdr:colOff>0</xdr:colOff>
      <xdr:row>75</xdr:row>
      <xdr:rowOff>0</xdr:rowOff>
    </xdr:to>
    <xdr:sp macro="" textlink="">
      <xdr:nvSpPr>
        <xdr:cNvPr id="6051" name="Text 946"/>
        <xdr:cNvSpPr txBox="1">
          <a:spLocks noChangeArrowheads="1"/>
        </xdr:cNvSpPr>
      </xdr:nvSpPr>
      <xdr:spPr bwMode="auto">
        <a:xfrm>
          <a:off x="685800" y="1470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83</xdr:row>
      <xdr:rowOff>0</xdr:rowOff>
    </xdr:from>
    <xdr:to>
      <xdr:col>1</xdr:col>
      <xdr:colOff>0</xdr:colOff>
      <xdr:row>83</xdr:row>
      <xdr:rowOff>0</xdr:rowOff>
    </xdr:to>
    <xdr:sp macro="" textlink="">
      <xdr:nvSpPr>
        <xdr:cNvPr id="6052" name="Text 947"/>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83</xdr:row>
      <xdr:rowOff>0</xdr:rowOff>
    </xdr:from>
    <xdr:to>
      <xdr:col>0</xdr:col>
      <xdr:colOff>708660</xdr:colOff>
      <xdr:row>83</xdr:row>
      <xdr:rowOff>0</xdr:rowOff>
    </xdr:to>
    <xdr:sp macro="" textlink="">
      <xdr:nvSpPr>
        <xdr:cNvPr id="6053" name="Text 948"/>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83</xdr:row>
      <xdr:rowOff>0</xdr:rowOff>
    </xdr:from>
    <xdr:to>
      <xdr:col>1</xdr:col>
      <xdr:colOff>0</xdr:colOff>
      <xdr:row>83</xdr:row>
      <xdr:rowOff>0</xdr:rowOff>
    </xdr:to>
    <xdr:sp macro="" textlink="">
      <xdr:nvSpPr>
        <xdr:cNvPr id="6054" name="Text 949"/>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83</xdr:row>
      <xdr:rowOff>0</xdr:rowOff>
    </xdr:from>
    <xdr:to>
      <xdr:col>1</xdr:col>
      <xdr:colOff>0</xdr:colOff>
      <xdr:row>83</xdr:row>
      <xdr:rowOff>0</xdr:rowOff>
    </xdr:to>
    <xdr:sp macro="" textlink="">
      <xdr:nvSpPr>
        <xdr:cNvPr id="6055" name="Text 950"/>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83</xdr:row>
      <xdr:rowOff>0</xdr:rowOff>
    </xdr:from>
    <xdr:to>
      <xdr:col>1</xdr:col>
      <xdr:colOff>0</xdr:colOff>
      <xdr:row>83</xdr:row>
      <xdr:rowOff>0</xdr:rowOff>
    </xdr:to>
    <xdr:sp macro="" textlink="">
      <xdr:nvSpPr>
        <xdr:cNvPr id="6056" name="Text 951"/>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83</xdr:row>
      <xdr:rowOff>0</xdr:rowOff>
    </xdr:from>
    <xdr:to>
      <xdr:col>1</xdr:col>
      <xdr:colOff>0</xdr:colOff>
      <xdr:row>83</xdr:row>
      <xdr:rowOff>0</xdr:rowOff>
    </xdr:to>
    <xdr:sp macro="" textlink="">
      <xdr:nvSpPr>
        <xdr:cNvPr id="6057" name="Text 952"/>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83</xdr:row>
      <xdr:rowOff>0</xdr:rowOff>
    </xdr:from>
    <xdr:to>
      <xdr:col>1</xdr:col>
      <xdr:colOff>0</xdr:colOff>
      <xdr:row>83</xdr:row>
      <xdr:rowOff>0</xdr:rowOff>
    </xdr:to>
    <xdr:sp macro="" textlink="">
      <xdr:nvSpPr>
        <xdr:cNvPr id="6058" name="Text 953"/>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704850</xdr:colOff>
      <xdr:row>82</xdr:row>
      <xdr:rowOff>0</xdr:rowOff>
    </xdr:from>
    <xdr:to>
      <xdr:col>1</xdr:col>
      <xdr:colOff>493464</xdr:colOff>
      <xdr:row>82</xdr:row>
      <xdr:rowOff>0</xdr:rowOff>
    </xdr:to>
    <xdr:sp macro="" textlink="">
      <xdr:nvSpPr>
        <xdr:cNvPr id="6059" name="Text 16"/>
        <xdr:cNvSpPr txBox="1">
          <a:spLocks noChangeArrowheads="1"/>
        </xdr:cNvSpPr>
      </xdr:nvSpPr>
      <xdr:spPr bwMode="auto">
        <a:xfrm>
          <a:off x="685800" y="16106775"/>
          <a:ext cx="48577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060" name="Text 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061" name="Text 3"/>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6062" name="Text 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063" name="Text 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064" name="Text 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065" name="Text 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6066" name="Text 1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067" name="Text 1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068" name="Text 1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069" name="Text 1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070" name="Text 17"/>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6071" name="Text 1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072" name="Text 1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073" name="Text 2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074" name="Text 2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075" name="Text 2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076" name="Text 27"/>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6077" name="Text 2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078" name="Text 2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079" name="Text 3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080" name="Text 3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081" name="Text 3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082" name="Text 3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083" name="Text 3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6084" name="Text 4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6085" name="Text 41"/>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82</xdr:row>
      <xdr:rowOff>0</xdr:rowOff>
    </xdr:from>
    <xdr:to>
      <xdr:col>0</xdr:col>
      <xdr:colOff>708660</xdr:colOff>
      <xdr:row>82</xdr:row>
      <xdr:rowOff>0</xdr:rowOff>
    </xdr:to>
    <xdr:sp macro="" textlink="">
      <xdr:nvSpPr>
        <xdr:cNvPr id="6086" name="Text 42"/>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6087" name="Text 43"/>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6088" name="Text 44"/>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6089" name="Text 45"/>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6090" name="Text 46"/>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6091" name="Text 47"/>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092" name="Text 4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6093" name="Text 4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094" name="Text 5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095" name="Text 5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6096" name="Text 5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097" name="Text 5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098" name="Text 5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099" name="Text 5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6100" name="Text 5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01" name="Text 5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02" name="Text 5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03" name="Text 5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104" name="Text 6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6105" name="Text 6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06" name="Text 6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07" name="Text 6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08" name="Text 6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09" name="Text 6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110" name="Text 6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6111" name="Text 67"/>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12" name="Text 6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13" name="Text 6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14" name="Text 7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15" name="Text 7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16" name="Text 7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117" name="Text 73"/>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6118" name="Text 7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19" name="Text 7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120" name="Text 7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21" name="Text 7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122" name="Text 7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23" name="Text 7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24" name="Text 8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125" name="Text 8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26" name="Text 8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27" name="Text 8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28" name="Text 8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129" name="Text 8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30" name="Text 8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31" name="Text 8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32" name="Text 8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33" name="Text 8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134" name="Text 9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35" name="Text 9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36" name="Text 9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37" name="Text 9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38" name="Text 9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39" name="Text 9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140" name="Text 9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141" name="Text 97"/>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6142" name="Text 9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43" name="Text 9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144" name="Text 10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6145" name="Text 10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46" name="Text 10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47" name="Text 10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148" name="Text 10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6149" name="Text 10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50" name="Text 10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51" name="Text 10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52" name="Text 10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153" name="Text 10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54" name="Text 11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55" name="Text 11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56" name="Text 11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57" name="Text 11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158" name="Text 11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59" name="Text 11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60" name="Text 11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61" name="Text 11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62" name="Text 11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63" name="Text 11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164" name="Text 12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65" name="Text 12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166" name="Text 12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67" name="Text 12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168" name="Text 12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69" name="Text 12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70" name="Text 12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171" name="Text 127"/>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72" name="Text 12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73" name="Text 12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74" name="Text 13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175" name="Text 13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76" name="Text 13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77" name="Text 13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78" name="Text 13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79" name="Text 13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180" name="Text 13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81" name="Text 13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82" name="Text 13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83" name="Text 13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84" name="Text 14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85" name="Text 14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186" name="Text 14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187" name="Text 143"/>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6188" name="Text 14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89" name="Text 14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190" name="Text 14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6191" name="Text 147"/>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92" name="Text 14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93" name="Text 14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194" name="Text 15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6195" name="Text 15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96" name="Text 15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97" name="Text 15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198" name="Text 15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199" name="Text 15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00" name="Text 15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01" name="Text 15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02" name="Text 15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03" name="Text 15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204" name="Text 16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05" name="Text 16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06" name="Text 16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07" name="Text 16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08" name="Text 16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09" name="Text 16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210" name="Text 16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11" name="Text 16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212" name="Text 16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13" name="Text 16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214" name="Text 17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15" name="Text 17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16" name="Text 17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217" name="Text 173"/>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18" name="Text 17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19" name="Text 17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20" name="Text 17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221" name="Text 177"/>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22" name="Text 17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23" name="Text 17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24" name="Text 18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25" name="Text 18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226" name="Text 18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27" name="Text 18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28" name="Text 18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29" name="Text 18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30" name="Text 18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31" name="Text 18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232" name="Text 18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233" name="Text 18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6234" name="Text 19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35" name="Text 19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236" name="Text 19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6237" name="Text 193"/>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38" name="Text 19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39" name="Text 19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240" name="Text 19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6241" name="Text 197"/>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42" name="Text 19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43" name="Text 19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44" name="Text 20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245" name="Text 20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46" name="Text 20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47" name="Text 20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48" name="Text 20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49" name="Text 20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250" name="Text 20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51" name="Text 20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52" name="Text 20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53" name="Text 20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54" name="Text 21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55" name="Text 21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256" name="Text 21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57" name="Text 21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258" name="Text 21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59" name="Text 21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260" name="Text 21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61" name="Text 21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62" name="Text 21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263" name="Text 21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64" name="Text 22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65" name="Text 22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66" name="Text 22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267" name="Text 223"/>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68" name="Text 22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69" name="Text 22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70" name="Text 22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71" name="Text 22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272" name="Text 22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73" name="Text 22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74" name="Text 23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75" name="Text 23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76" name="Text 23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77" name="Text 23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278" name="Text 23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79" name="Text 23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280" name="Text 23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81" name="Text 23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282" name="Text 23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83" name="Text 23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84" name="Text 24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285" name="Text 24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86" name="Text 24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87" name="Text 24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88" name="Text 24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289" name="Text 24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90" name="Text 24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91" name="Text 24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92" name="Text 24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93" name="Text 24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294" name="Text 25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95" name="Text 25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96" name="Text 25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97" name="Text 25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98" name="Text 25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299" name="Text 25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300" name="Text 25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301" name="Text 257"/>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6302" name="Text 25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03" name="Text 25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304" name="Text 26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6305" name="Text 26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06" name="Text 26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07" name="Text 26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308" name="Text 26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6309" name="Text 26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10" name="Text 26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11" name="Text 26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12" name="Text 26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313" name="Text 26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14" name="Text 27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15" name="Text 27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16" name="Text 27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17" name="Text 27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318" name="Text 27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19" name="Text 27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20" name="Text 27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21" name="Text 27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22" name="Text 27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23" name="Text 27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324" name="Text 28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25" name="Text 28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326" name="Text 28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27" name="Text 28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328" name="Text 28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29" name="Text 28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30" name="Text 28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331" name="Text 287"/>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32" name="Text 28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33" name="Text 28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34" name="Text 29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335" name="Text 29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36" name="Text 29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37" name="Text 29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38" name="Text 29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39" name="Text 29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340" name="Text 29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41" name="Text 29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42" name="Text 29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43" name="Text 29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44" name="Text 30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45" name="Text 30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346" name="Text 30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47" name="Text 30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348" name="Text 30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49" name="Text 30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350" name="Text 30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51" name="Text 30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52" name="Text 30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353" name="Text 30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54" name="Text 31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55" name="Text 31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56" name="Text 31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357" name="Text 313"/>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58" name="Text 31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59" name="Text 31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60" name="Text 31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61" name="Text 31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362" name="Text 31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63" name="Text 31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64" name="Text 32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65" name="Text 32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66" name="Text 32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67" name="Text 32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368" name="Text 32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369" name="Text 32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6370" name="Text 32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71" name="Text 32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372" name="Text 32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6373" name="Text 32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74" name="Text 33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75" name="Text 33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376" name="Text 33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6377" name="Text 333"/>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78" name="Text 33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79" name="Text 33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80" name="Text 33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381" name="Text 337"/>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82" name="Text 33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83" name="Text 33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84" name="Text 34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85" name="Text 34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386" name="Text 34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87" name="Text 34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88" name="Text 34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89" name="Text 34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90" name="Text 34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391" name="Text 34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392" name="Text 34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6393" name="Text 349"/>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82</xdr:row>
      <xdr:rowOff>0</xdr:rowOff>
    </xdr:from>
    <xdr:to>
      <xdr:col>0</xdr:col>
      <xdr:colOff>708660</xdr:colOff>
      <xdr:row>82</xdr:row>
      <xdr:rowOff>0</xdr:rowOff>
    </xdr:to>
    <xdr:sp macro="" textlink="">
      <xdr:nvSpPr>
        <xdr:cNvPr id="6394" name="Text 350"/>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6395" name="Text 351"/>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6396" name="Text 352"/>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6397" name="Text 353"/>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6398" name="Text 354"/>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6399" name="Text 355"/>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6400" name="Text 356"/>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401" name="Text 35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402" name="Text 35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403" name="Text 35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404" name="Text 36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405" name="Text 36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406" name="Text 36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407" name="Text 363"/>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408" name="Text 36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409" name="Text 36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410" name="Text 36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411" name="Text 367"/>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412" name="Text 36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413" name="Text 36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414" name="Text 37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415" name="Text 37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416" name="Text 37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417" name="Text 37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418" name="Text 37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419" name="Text 37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420" name="Text 37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421" name="Text 37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422" name="Text 37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423" name="Text 37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424" name="Text 38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425" name="Text 38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426" name="Text 38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427" name="Text 38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428" name="Text 38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429" name="Text 38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430" name="Text 38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431" name="Text 38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432" name="Text 38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433" name="Text 38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434" name="Text 39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435" name="Text 39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436" name="Text 39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437" name="Text 39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438" name="Text 39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439" name="Text 39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440" name="Text 39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441" name="Text 39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442" name="Text 39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443" name="Text 39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444" name="Text 400"/>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445" name="Text 401"/>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75</xdr:row>
      <xdr:rowOff>0</xdr:rowOff>
    </xdr:from>
    <xdr:to>
      <xdr:col>1</xdr:col>
      <xdr:colOff>0</xdr:colOff>
      <xdr:row>75</xdr:row>
      <xdr:rowOff>0</xdr:rowOff>
    </xdr:to>
    <xdr:sp macro="" textlink="">
      <xdr:nvSpPr>
        <xdr:cNvPr id="6446" name="Text 402"/>
        <xdr:cNvSpPr txBox="1">
          <a:spLocks noChangeArrowheads="1"/>
        </xdr:cNvSpPr>
      </xdr:nvSpPr>
      <xdr:spPr bwMode="auto">
        <a:xfrm>
          <a:off x="685800" y="1470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447" name="Text 403"/>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75</xdr:row>
      <xdr:rowOff>0</xdr:rowOff>
    </xdr:from>
    <xdr:to>
      <xdr:col>1</xdr:col>
      <xdr:colOff>0</xdr:colOff>
      <xdr:row>75</xdr:row>
      <xdr:rowOff>0</xdr:rowOff>
    </xdr:to>
    <xdr:sp macro="" textlink="">
      <xdr:nvSpPr>
        <xdr:cNvPr id="6448" name="Text 404"/>
        <xdr:cNvSpPr txBox="1">
          <a:spLocks noChangeArrowheads="1"/>
        </xdr:cNvSpPr>
      </xdr:nvSpPr>
      <xdr:spPr bwMode="auto">
        <a:xfrm>
          <a:off x="685800" y="1470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449" name="Text 405"/>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450" name="Text 406"/>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75</xdr:row>
      <xdr:rowOff>0</xdr:rowOff>
    </xdr:from>
    <xdr:to>
      <xdr:col>1</xdr:col>
      <xdr:colOff>0</xdr:colOff>
      <xdr:row>75</xdr:row>
      <xdr:rowOff>0</xdr:rowOff>
    </xdr:to>
    <xdr:sp macro="" textlink="">
      <xdr:nvSpPr>
        <xdr:cNvPr id="6451" name="Text 407"/>
        <xdr:cNvSpPr txBox="1">
          <a:spLocks noChangeArrowheads="1"/>
        </xdr:cNvSpPr>
      </xdr:nvSpPr>
      <xdr:spPr bwMode="auto">
        <a:xfrm>
          <a:off x="685800" y="1470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452" name="Text 408"/>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453" name="Text 409"/>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454" name="Text 410"/>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75</xdr:row>
      <xdr:rowOff>0</xdr:rowOff>
    </xdr:from>
    <xdr:to>
      <xdr:col>1</xdr:col>
      <xdr:colOff>0</xdr:colOff>
      <xdr:row>75</xdr:row>
      <xdr:rowOff>0</xdr:rowOff>
    </xdr:to>
    <xdr:sp macro="" textlink="">
      <xdr:nvSpPr>
        <xdr:cNvPr id="6455" name="Text 411"/>
        <xdr:cNvSpPr txBox="1">
          <a:spLocks noChangeArrowheads="1"/>
        </xdr:cNvSpPr>
      </xdr:nvSpPr>
      <xdr:spPr bwMode="auto">
        <a:xfrm>
          <a:off x="685800" y="1470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456" name="Text 412"/>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457" name="Text 413"/>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458" name="Text 414"/>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459" name="Text 415"/>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75</xdr:row>
      <xdr:rowOff>0</xdr:rowOff>
    </xdr:from>
    <xdr:to>
      <xdr:col>1</xdr:col>
      <xdr:colOff>0</xdr:colOff>
      <xdr:row>75</xdr:row>
      <xdr:rowOff>0</xdr:rowOff>
    </xdr:to>
    <xdr:sp macro="" textlink="">
      <xdr:nvSpPr>
        <xdr:cNvPr id="6460" name="Text 416"/>
        <xdr:cNvSpPr txBox="1">
          <a:spLocks noChangeArrowheads="1"/>
        </xdr:cNvSpPr>
      </xdr:nvSpPr>
      <xdr:spPr bwMode="auto">
        <a:xfrm>
          <a:off x="685800" y="1470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461" name="Text 417"/>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462" name="Text 418"/>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463" name="Text 419"/>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464" name="Text 420"/>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465" name="Text 421"/>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75</xdr:row>
      <xdr:rowOff>0</xdr:rowOff>
    </xdr:from>
    <xdr:to>
      <xdr:col>1</xdr:col>
      <xdr:colOff>0</xdr:colOff>
      <xdr:row>75</xdr:row>
      <xdr:rowOff>0</xdr:rowOff>
    </xdr:to>
    <xdr:sp macro="" textlink="">
      <xdr:nvSpPr>
        <xdr:cNvPr id="6466" name="Text 422"/>
        <xdr:cNvSpPr txBox="1">
          <a:spLocks noChangeArrowheads="1"/>
        </xdr:cNvSpPr>
      </xdr:nvSpPr>
      <xdr:spPr bwMode="auto">
        <a:xfrm>
          <a:off x="685800" y="1470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83</xdr:row>
      <xdr:rowOff>0</xdr:rowOff>
    </xdr:from>
    <xdr:to>
      <xdr:col>1</xdr:col>
      <xdr:colOff>0</xdr:colOff>
      <xdr:row>83</xdr:row>
      <xdr:rowOff>0</xdr:rowOff>
    </xdr:to>
    <xdr:sp macro="" textlink="">
      <xdr:nvSpPr>
        <xdr:cNvPr id="6467" name="Text 423"/>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83</xdr:row>
      <xdr:rowOff>0</xdr:rowOff>
    </xdr:from>
    <xdr:to>
      <xdr:col>0</xdr:col>
      <xdr:colOff>708660</xdr:colOff>
      <xdr:row>83</xdr:row>
      <xdr:rowOff>0</xdr:rowOff>
    </xdr:to>
    <xdr:sp macro="" textlink="">
      <xdr:nvSpPr>
        <xdr:cNvPr id="6468" name="Text 424"/>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83</xdr:row>
      <xdr:rowOff>0</xdr:rowOff>
    </xdr:from>
    <xdr:to>
      <xdr:col>1</xdr:col>
      <xdr:colOff>0</xdr:colOff>
      <xdr:row>83</xdr:row>
      <xdr:rowOff>0</xdr:rowOff>
    </xdr:to>
    <xdr:sp macro="" textlink="">
      <xdr:nvSpPr>
        <xdr:cNvPr id="6469" name="Text 425"/>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83</xdr:row>
      <xdr:rowOff>0</xdr:rowOff>
    </xdr:from>
    <xdr:to>
      <xdr:col>1</xdr:col>
      <xdr:colOff>0</xdr:colOff>
      <xdr:row>83</xdr:row>
      <xdr:rowOff>0</xdr:rowOff>
    </xdr:to>
    <xdr:sp macro="" textlink="">
      <xdr:nvSpPr>
        <xdr:cNvPr id="6470" name="Text 426"/>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83</xdr:row>
      <xdr:rowOff>0</xdr:rowOff>
    </xdr:from>
    <xdr:to>
      <xdr:col>1</xdr:col>
      <xdr:colOff>0</xdr:colOff>
      <xdr:row>83</xdr:row>
      <xdr:rowOff>0</xdr:rowOff>
    </xdr:to>
    <xdr:sp macro="" textlink="">
      <xdr:nvSpPr>
        <xdr:cNvPr id="6471" name="Text 427"/>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83</xdr:row>
      <xdr:rowOff>0</xdr:rowOff>
    </xdr:from>
    <xdr:to>
      <xdr:col>1</xdr:col>
      <xdr:colOff>0</xdr:colOff>
      <xdr:row>83</xdr:row>
      <xdr:rowOff>0</xdr:rowOff>
    </xdr:to>
    <xdr:sp macro="" textlink="">
      <xdr:nvSpPr>
        <xdr:cNvPr id="6472" name="Text 428"/>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83</xdr:row>
      <xdr:rowOff>0</xdr:rowOff>
    </xdr:from>
    <xdr:to>
      <xdr:col>1</xdr:col>
      <xdr:colOff>0</xdr:colOff>
      <xdr:row>83</xdr:row>
      <xdr:rowOff>0</xdr:rowOff>
    </xdr:to>
    <xdr:sp macro="" textlink="">
      <xdr:nvSpPr>
        <xdr:cNvPr id="6473" name="Text 429"/>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474" name="Text 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6475" name="Text 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476" name="Text 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477" name="Text 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6478" name="Text 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479" name="Text 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480" name="Text 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481" name="Text 1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6482" name="Text 1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483" name="Text 1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484" name="Text 1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485" name="Text 1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486" name="Text 1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487" name="Text 2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488" name="Text 2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489" name="Text 2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490" name="Text 2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491" name="Text 2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492" name="Text 3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493" name="Text 3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494" name="Text 3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495" name="Text 3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496" name="Text 3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497" name="Text 4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6498" name="Text 43"/>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82</xdr:row>
      <xdr:rowOff>0</xdr:rowOff>
    </xdr:from>
    <xdr:to>
      <xdr:col>0</xdr:col>
      <xdr:colOff>708660</xdr:colOff>
      <xdr:row>82</xdr:row>
      <xdr:rowOff>0</xdr:rowOff>
    </xdr:to>
    <xdr:sp macro="" textlink="">
      <xdr:nvSpPr>
        <xdr:cNvPr id="6499" name="Text 44"/>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6500" name="Text 45"/>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6501" name="Text 46"/>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6502" name="Text 47"/>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6503" name="Text 48"/>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6504" name="Text 49"/>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6505" name="Text 50"/>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506" name="Text 5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507" name="Text 5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508" name="Text 5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509" name="Text 5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510" name="Text 5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511" name="Text 5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512" name="Text 57"/>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513" name="Text 5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514" name="Text 5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515" name="Text 6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516" name="Text 6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517" name="Text 6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518" name="Text 6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519" name="Text 6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520" name="Text 6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521" name="Text 6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522" name="Text 6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523" name="Text 6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524" name="Text 6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525" name="Text 7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526" name="Text 7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527" name="Text 7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528" name="Text 7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529" name="Text 7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530" name="Text 7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531" name="Text 7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532" name="Text 7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533" name="Text 7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534" name="Text 7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535" name="Text 8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536" name="Text 8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537" name="Text 8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538" name="Text 83"/>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539" name="Text 8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540" name="Text 8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541" name="Text 8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542" name="Text 8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543" name="Text 8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544" name="Text 8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545" name="Text 9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546" name="Text 9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547" name="Text 9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548" name="Text 9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549" name="Text 9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550" name="Text 95"/>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75</xdr:row>
      <xdr:rowOff>0</xdr:rowOff>
    </xdr:from>
    <xdr:to>
      <xdr:col>1</xdr:col>
      <xdr:colOff>0</xdr:colOff>
      <xdr:row>75</xdr:row>
      <xdr:rowOff>0</xdr:rowOff>
    </xdr:to>
    <xdr:sp macro="" textlink="">
      <xdr:nvSpPr>
        <xdr:cNvPr id="6551" name="Text 96"/>
        <xdr:cNvSpPr txBox="1">
          <a:spLocks noChangeArrowheads="1"/>
        </xdr:cNvSpPr>
      </xdr:nvSpPr>
      <xdr:spPr bwMode="auto">
        <a:xfrm>
          <a:off x="685800" y="1470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552" name="Text 97"/>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75</xdr:row>
      <xdr:rowOff>0</xdr:rowOff>
    </xdr:from>
    <xdr:to>
      <xdr:col>1</xdr:col>
      <xdr:colOff>0</xdr:colOff>
      <xdr:row>75</xdr:row>
      <xdr:rowOff>0</xdr:rowOff>
    </xdr:to>
    <xdr:sp macro="" textlink="">
      <xdr:nvSpPr>
        <xdr:cNvPr id="6553" name="Text 98"/>
        <xdr:cNvSpPr txBox="1">
          <a:spLocks noChangeArrowheads="1"/>
        </xdr:cNvSpPr>
      </xdr:nvSpPr>
      <xdr:spPr bwMode="auto">
        <a:xfrm>
          <a:off x="685800" y="1470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554" name="Text 99"/>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555" name="Text 100"/>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75</xdr:row>
      <xdr:rowOff>0</xdr:rowOff>
    </xdr:from>
    <xdr:to>
      <xdr:col>1</xdr:col>
      <xdr:colOff>0</xdr:colOff>
      <xdr:row>75</xdr:row>
      <xdr:rowOff>0</xdr:rowOff>
    </xdr:to>
    <xdr:sp macro="" textlink="">
      <xdr:nvSpPr>
        <xdr:cNvPr id="6556" name="Text 101"/>
        <xdr:cNvSpPr txBox="1">
          <a:spLocks noChangeArrowheads="1"/>
        </xdr:cNvSpPr>
      </xdr:nvSpPr>
      <xdr:spPr bwMode="auto">
        <a:xfrm>
          <a:off x="685800" y="1470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557" name="Text 102"/>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558" name="Text 103"/>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559" name="Text 104"/>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75</xdr:row>
      <xdr:rowOff>0</xdr:rowOff>
    </xdr:from>
    <xdr:to>
      <xdr:col>1</xdr:col>
      <xdr:colOff>0</xdr:colOff>
      <xdr:row>75</xdr:row>
      <xdr:rowOff>0</xdr:rowOff>
    </xdr:to>
    <xdr:sp macro="" textlink="">
      <xdr:nvSpPr>
        <xdr:cNvPr id="6560" name="Text 105"/>
        <xdr:cNvSpPr txBox="1">
          <a:spLocks noChangeArrowheads="1"/>
        </xdr:cNvSpPr>
      </xdr:nvSpPr>
      <xdr:spPr bwMode="auto">
        <a:xfrm>
          <a:off x="685800" y="1470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561" name="Text 106"/>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562" name="Text 107"/>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563" name="Text 108"/>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564" name="Text 109"/>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75</xdr:row>
      <xdr:rowOff>0</xdr:rowOff>
    </xdr:from>
    <xdr:to>
      <xdr:col>1</xdr:col>
      <xdr:colOff>0</xdr:colOff>
      <xdr:row>75</xdr:row>
      <xdr:rowOff>0</xdr:rowOff>
    </xdr:to>
    <xdr:sp macro="" textlink="">
      <xdr:nvSpPr>
        <xdr:cNvPr id="6565" name="Text 110"/>
        <xdr:cNvSpPr txBox="1">
          <a:spLocks noChangeArrowheads="1"/>
        </xdr:cNvSpPr>
      </xdr:nvSpPr>
      <xdr:spPr bwMode="auto">
        <a:xfrm>
          <a:off x="685800" y="1470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566" name="Text 111"/>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567" name="Text 112"/>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568" name="Text 113"/>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569" name="Text 114"/>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570" name="Text 115"/>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75</xdr:row>
      <xdr:rowOff>0</xdr:rowOff>
    </xdr:from>
    <xdr:to>
      <xdr:col>1</xdr:col>
      <xdr:colOff>0</xdr:colOff>
      <xdr:row>75</xdr:row>
      <xdr:rowOff>0</xdr:rowOff>
    </xdr:to>
    <xdr:sp macro="" textlink="">
      <xdr:nvSpPr>
        <xdr:cNvPr id="6571" name="Text 116"/>
        <xdr:cNvSpPr txBox="1">
          <a:spLocks noChangeArrowheads="1"/>
        </xdr:cNvSpPr>
      </xdr:nvSpPr>
      <xdr:spPr bwMode="auto">
        <a:xfrm>
          <a:off x="685800" y="1470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83</xdr:row>
      <xdr:rowOff>0</xdr:rowOff>
    </xdr:from>
    <xdr:to>
      <xdr:col>1</xdr:col>
      <xdr:colOff>0</xdr:colOff>
      <xdr:row>83</xdr:row>
      <xdr:rowOff>0</xdr:rowOff>
    </xdr:to>
    <xdr:sp macro="" textlink="">
      <xdr:nvSpPr>
        <xdr:cNvPr id="6572" name="Text 117"/>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83</xdr:row>
      <xdr:rowOff>0</xdr:rowOff>
    </xdr:from>
    <xdr:to>
      <xdr:col>0</xdr:col>
      <xdr:colOff>708660</xdr:colOff>
      <xdr:row>83</xdr:row>
      <xdr:rowOff>0</xdr:rowOff>
    </xdr:to>
    <xdr:sp macro="" textlink="">
      <xdr:nvSpPr>
        <xdr:cNvPr id="6573" name="Text 118"/>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83</xdr:row>
      <xdr:rowOff>0</xdr:rowOff>
    </xdr:from>
    <xdr:to>
      <xdr:col>1</xdr:col>
      <xdr:colOff>0</xdr:colOff>
      <xdr:row>83</xdr:row>
      <xdr:rowOff>0</xdr:rowOff>
    </xdr:to>
    <xdr:sp macro="" textlink="">
      <xdr:nvSpPr>
        <xdr:cNvPr id="6574" name="Text 119"/>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83</xdr:row>
      <xdr:rowOff>0</xdr:rowOff>
    </xdr:from>
    <xdr:to>
      <xdr:col>1</xdr:col>
      <xdr:colOff>0</xdr:colOff>
      <xdr:row>83</xdr:row>
      <xdr:rowOff>0</xdr:rowOff>
    </xdr:to>
    <xdr:sp macro="" textlink="">
      <xdr:nvSpPr>
        <xdr:cNvPr id="6575" name="Text 120"/>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83</xdr:row>
      <xdr:rowOff>0</xdr:rowOff>
    </xdr:from>
    <xdr:to>
      <xdr:col>1</xdr:col>
      <xdr:colOff>0</xdr:colOff>
      <xdr:row>83</xdr:row>
      <xdr:rowOff>0</xdr:rowOff>
    </xdr:to>
    <xdr:sp macro="" textlink="">
      <xdr:nvSpPr>
        <xdr:cNvPr id="6576" name="Text 121"/>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83</xdr:row>
      <xdr:rowOff>0</xdr:rowOff>
    </xdr:from>
    <xdr:to>
      <xdr:col>1</xdr:col>
      <xdr:colOff>0</xdr:colOff>
      <xdr:row>83</xdr:row>
      <xdr:rowOff>0</xdr:rowOff>
    </xdr:to>
    <xdr:sp macro="" textlink="">
      <xdr:nvSpPr>
        <xdr:cNvPr id="6577" name="Text 122"/>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83</xdr:row>
      <xdr:rowOff>0</xdr:rowOff>
    </xdr:from>
    <xdr:to>
      <xdr:col>1</xdr:col>
      <xdr:colOff>0</xdr:colOff>
      <xdr:row>83</xdr:row>
      <xdr:rowOff>0</xdr:rowOff>
    </xdr:to>
    <xdr:sp macro="" textlink="">
      <xdr:nvSpPr>
        <xdr:cNvPr id="6578" name="Text 123"/>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6579" name="Text 1"/>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78</xdr:row>
      <xdr:rowOff>0</xdr:rowOff>
    </xdr:from>
    <xdr:to>
      <xdr:col>1</xdr:col>
      <xdr:colOff>1930083</xdr:colOff>
      <xdr:row>78</xdr:row>
      <xdr:rowOff>0</xdr:rowOff>
    </xdr:to>
    <xdr:sp macro="" textlink="">
      <xdr:nvSpPr>
        <xdr:cNvPr id="6580" name="Text 3"/>
        <xdr:cNvSpPr txBox="1">
          <a:spLocks noChangeArrowheads="1"/>
        </xdr:cNvSpPr>
      </xdr:nvSpPr>
      <xdr:spPr bwMode="auto">
        <a:xfrm>
          <a:off x="2562225"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6581" name="Text 5"/>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78</xdr:row>
      <xdr:rowOff>0</xdr:rowOff>
    </xdr:from>
    <xdr:to>
      <xdr:col>1</xdr:col>
      <xdr:colOff>1930083</xdr:colOff>
      <xdr:row>78</xdr:row>
      <xdr:rowOff>0</xdr:rowOff>
    </xdr:to>
    <xdr:sp macro="" textlink="">
      <xdr:nvSpPr>
        <xdr:cNvPr id="6582" name="Text 7"/>
        <xdr:cNvSpPr txBox="1">
          <a:spLocks noChangeArrowheads="1"/>
        </xdr:cNvSpPr>
      </xdr:nvSpPr>
      <xdr:spPr bwMode="auto">
        <a:xfrm>
          <a:off x="2562225"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6583" name="Text 9"/>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6584" name="Text 11"/>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78</xdr:row>
      <xdr:rowOff>0</xdr:rowOff>
    </xdr:from>
    <xdr:to>
      <xdr:col>1</xdr:col>
      <xdr:colOff>1930083</xdr:colOff>
      <xdr:row>78</xdr:row>
      <xdr:rowOff>0</xdr:rowOff>
    </xdr:to>
    <xdr:sp macro="" textlink="">
      <xdr:nvSpPr>
        <xdr:cNvPr id="6585" name="Text 13"/>
        <xdr:cNvSpPr txBox="1">
          <a:spLocks noChangeArrowheads="1"/>
        </xdr:cNvSpPr>
      </xdr:nvSpPr>
      <xdr:spPr bwMode="auto">
        <a:xfrm>
          <a:off x="2562225"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6586" name="Text 15"/>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6587" name="Text 17"/>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6588" name="Text 19"/>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78</xdr:row>
      <xdr:rowOff>0</xdr:rowOff>
    </xdr:from>
    <xdr:to>
      <xdr:col>1</xdr:col>
      <xdr:colOff>1930083</xdr:colOff>
      <xdr:row>78</xdr:row>
      <xdr:rowOff>0</xdr:rowOff>
    </xdr:to>
    <xdr:sp macro="" textlink="">
      <xdr:nvSpPr>
        <xdr:cNvPr id="6589" name="Text 21"/>
        <xdr:cNvSpPr txBox="1">
          <a:spLocks noChangeArrowheads="1"/>
        </xdr:cNvSpPr>
      </xdr:nvSpPr>
      <xdr:spPr bwMode="auto">
        <a:xfrm>
          <a:off x="2562225"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6590" name="Text 23"/>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6591" name="Text 25"/>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6592" name="Text 27"/>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6593" name="Text 29"/>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78</xdr:row>
      <xdr:rowOff>0</xdr:rowOff>
    </xdr:from>
    <xdr:to>
      <xdr:col>1</xdr:col>
      <xdr:colOff>1930083</xdr:colOff>
      <xdr:row>78</xdr:row>
      <xdr:rowOff>0</xdr:rowOff>
    </xdr:to>
    <xdr:sp macro="" textlink="">
      <xdr:nvSpPr>
        <xdr:cNvPr id="6594" name="Text 31"/>
        <xdr:cNvSpPr txBox="1">
          <a:spLocks noChangeArrowheads="1"/>
        </xdr:cNvSpPr>
      </xdr:nvSpPr>
      <xdr:spPr bwMode="auto">
        <a:xfrm>
          <a:off x="2562225"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6595" name="Text 33"/>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6596" name="Text 35"/>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6597" name="Text 37"/>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6598" name="Text 39"/>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6599" name="Text 41"/>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78</xdr:row>
      <xdr:rowOff>0</xdr:rowOff>
    </xdr:from>
    <xdr:to>
      <xdr:col>1</xdr:col>
      <xdr:colOff>1930083</xdr:colOff>
      <xdr:row>78</xdr:row>
      <xdr:rowOff>0</xdr:rowOff>
    </xdr:to>
    <xdr:sp macro="" textlink="">
      <xdr:nvSpPr>
        <xdr:cNvPr id="6600" name="Text 43"/>
        <xdr:cNvSpPr txBox="1">
          <a:spLocks noChangeArrowheads="1"/>
        </xdr:cNvSpPr>
      </xdr:nvSpPr>
      <xdr:spPr bwMode="auto">
        <a:xfrm>
          <a:off x="2562225"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87</xdr:row>
      <xdr:rowOff>0</xdr:rowOff>
    </xdr:from>
    <xdr:to>
      <xdr:col>1</xdr:col>
      <xdr:colOff>1930083</xdr:colOff>
      <xdr:row>87</xdr:row>
      <xdr:rowOff>0</xdr:rowOff>
    </xdr:to>
    <xdr:sp macro="" textlink="">
      <xdr:nvSpPr>
        <xdr:cNvPr id="6601" name="Text 45"/>
        <xdr:cNvSpPr txBox="1">
          <a:spLocks noChangeArrowheads="1"/>
        </xdr:cNvSpPr>
      </xdr:nvSpPr>
      <xdr:spPr bwMode="auto">
        <a:xfrm>
          <a:off x="2562225" y="17106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1607820</xdr:colOff>
      <xdr:row>87</xdr:row>
      <xdr:rowOff>0</xdr:rowOff>
    </xdr:from>
    <xdr:to>
      <xdr:col>1</xdr:col>
      <xdr:colOff>1922145</xdr:colOff>
      <xdr:row>87</xdr:row>
      <xdr:rowOff>0</xdr:rowOff>
    </xdr:to>
    <xdr:sp macro="" textlink="">
      <xdr:nvSpPr>
        <xdr:cNvPr id="6602" name="Text 46"/>
        <xdr:cNvSpPr txBox="1">
          <a:spLocks noChangeArrowheads="1"/>
        </xdr:cNvSpPr>
      </xdr:nvSpPr>
      <xdr:spPr bwMode="auto">
        <a:xfrm>
          <a:off x="2247900" y="1710690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1</xdr:col>
      <xdr:colOff>1922145</xdr:colOff>
      <xdr:row>87</xdr:row>
      <xdr:rowOff>0</xdr:rowOff>
    </xdr:from>
    <xdr:to>
      <xdr:col>1</xdr:col>
      <xdr:colOff>1930083</xdr:colOff>
      <xdr:row>87</xdr:row>
      <xdr:rowOff>0</xdr:rowOff>
    </xdr:to>
    <xdr:sp macro="" textlink="">
      <xdr:nvSpPr>
        <xdr:cNvPr id="6603" name="Text 47"/>
        <xdr:cNvSpPr txBox="1">
          <a:spLocks noChangeArrowheads="1"/>
        </xdr:cNvSpPr>
      </xdr:nvSpPr>
      <xdr:spPr bwMode="auto">
        <a:xfrm>
          <a:off x="2562225" y="17106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87</xdr:row>
      <xdr:rowOff>0</xdr:rowOff>
    </xdr:from>
    <xdr:to>
      <xdr:col>1</xdr:col>
      <xdr:colOff>1930083</xdr:colOff>
      <xdr:row>87</xdr:row>
      <xdr:rowOff>0</xdr:rowOff>
    </xdr:to>
    <xdr:sp macro="" textlink="">
      <xdr:nvSpPr>
        <xdr:cNvPr id="6604" name="Text 48"/>
        <xdr:cNvSpPr txBox="1">
          <a:spLocks noChangeArrowheads="1"/>
        </xdr:cNvSpPr>
      </xdr:nvSpPr>
      <xdr:spPr bwMode="auto">
        <a:xfrm>
          <a:off x="2562225" y="17106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87</xdr:row>
      <xdr:rowOff>0</xdr:rowOff>
    </xdr:from>
    <xdr:to>
      <xdr:col>1</xdr:col>
      <xdr:colOff>1930083</xdr:colOff>
      <xdr:row>87</xdr:row>
      <xdr:rowOff>0</xdr:rowOff>
    </xdr:to>
    <xdr:sp macro="" textlink="">
      <xdr:nvSpPr>
        <xdr:cNvPr id="6605" name="Text 49"/>
        <xdr:cNvSpPr txBox="1">
          <a:spLocks noChangeArrowheads="1"/>
        </xdr:cNvSpPr>
      </xdr:nvSpPr>
      <xdr:spPr bwMode="auto">
        <a:xfrm>
          <a:off x="2562225" y="17106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87</xdr:row>
      <xdr:rowOff>0</xdr:rowOff>
    </xdr:from>
    <xdr:to>
      <xdr:col>1</xdr:col>
      <xdr:colOff>1930083</xdr:colOff>
      <xdr:row>87</xdr:row>
      <xdr:rowOff>0</xdr:rowOff>
    </xdr:to>
    <xdr:sp macro="" textlink="">
      <xdr:nvSpPr>
        <xdr:cNvPr id="6606" name="Text 50"/>
        <xdr:cNvSpPr txBox="1">
          <a:spLocks noChangeArrowheads="1"/>
        </xdr:cNvSpPr>
      </xdr:nvSpPr>
      <xdr:spPr bwMode="auto">
        <a:xfrm>
          <a:off x="2562225" y="17106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87</xdr:row>
      <xdr:rowOff>0</xdr:rowOff>
    </xdr:from>
    <xdr:to>
      <xdr:col>1</xdr:col>
      <xdr:colOff>1930083</xdr:colOff>
      <xdr:row>87</xdr:row>
      <xdr:rowOff>0</xdr:rowOff>
    </xdr:to>
    <xdr:sp macro="" textlink="">
      <xdr:nvSpPr>
        <xdr:cNvPr id="6607" name="Text 51"/>
        <xdr:cNvSpPr txBox="1">
          <a:spLocks noChangeArrowheads="1"/>
        </xdr:cNvSpPr>
      </xdr:nvSpPr>
      <xdr:spPr bwMode="auto">
        <a:xfrm>
          <a:off x="2562225" y="17106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608" name="Text 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6609" name="Text 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610" name="Text 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611" name="Text 5"/>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6612" name="Text 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613" name="Text 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614" name="Text 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615" name="Text 1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74</xdr:row>
      <xdr:rowOff>0</xdr:rowOff>
    </xdr:from>
    <xdr:to>
      <xdr:col>0</xdr:col>
      <xdr:colOff>708660</xdr:colOff>
      <xdr:row>74</xdr:row>
      <xdr:rowOff>0</xdr:rowOff>
    </xdr:to>
    <xdr:sp macro="" textlink="">
      <xdr:nvSpPr>
        <xdr:cNvPr id="6616" name="Text 1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617" name="Text 1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618" name="Text 1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619" name="Text 1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620" name="Text 1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621" name="Text 2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622" name="Text 2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623" name="Text 2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624" name="Text 2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625" name="Text 2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626" name="Text 3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627" name="Text 3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628" name="Text 3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629" name="Text 3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630" name="Text 3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631" name="Text 4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6632" name="Text 43"/>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82</xdr:row>
      <xdr:rowOff>0</xdr:rowOff>
    </xdr:from>
    <xdr:to>
      <xdr:col>0</xdr:col>
      <xdr:colOff>708660</xdr:colOff>
      <xdr:row>82</xdr:row>
      <xdr:rowOff>0</xdr:rowOff>
    </xdr:to>
    <xdr:sp macro="" textlink="">
      <xdr:nvSpPr>
        <xdr:cNvPr id="6633" name="Text 44"/>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6634" name="Text 45"/>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6635" name="Text 46"/>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6636" name="Text 47"/>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6637" name="Text 48"/>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6638" name="Text 49"/>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82</xdr:row>
      <xdr:rowOff>0</xdr:rowOff>
    </xdr:from>
    <xdr:to>
      <xdr:col>1</xdr:col>
      <xdr:colOff>0</xdr:colOff>
      <xdr:row>82</xdr:row>
      <xdr:rowOff>0</xdr:rowOff>
    </xdr:to>
    <xdr:sp macro="" textlink="">
      <xdr:nvSpPr>
        <xdr:cNvPr id="6639" name="Text 50"/>
        <xdr:cNvSpPr txBox="1">
          <a:spLocks noChangeArrowheads="1"/>
        </xdr:cNvSpPr>
      </xdr:nvSpPr>
      <xdr:spPr bwMode="auto">
        <a:xfrm>
          <a:off x="685800"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640" name="Text 5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641" name="Text 5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642" name="Text 5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643" name="Text 5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644" name="Text 5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645" name="Text 5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646" name="Text 57"/>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647" name="Text 5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648" name="Text 5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649" name="Text 6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650" name="Text 61"/>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651" name="Text 6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652" name="Text 6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653" name="Text 6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654" name="Text 6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655" name="Text 6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656" name="Text 6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657" name="Text 6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658" name="Text 6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659" name="Text 7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660" name="Text 7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661" name="Text 72"/>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662" name="Text 7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663" name="Text 7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664" name="Text 7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665" name="Text 76"/>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666" name="Text 7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667" name="Text 78"/>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668" name="Text 79"/>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669" name="Text 8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670" name="Text 8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671" name="Text 8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672" name="Text 83"/>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673" name="Text 84"/>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674" name="Text 85"/>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675" name="Text 86"/>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676" name="Text 87"/>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677" name="Text 88"/>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678" name="Text 89"/>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679" name="Text 90"/>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680" name="Text 91"/>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681" name="Text 92"/>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78</xdr:row>
      <xdr:rowOff>0</xdr:rowOff>
    </xdr:from>
    <xdr:to>
      <xdr:col>1</xdr:col>
      <xdr:colOff>0</xdr:colOff>
      <xdr:row>78</xdr:row>
      <xdr:rowOff>0</xdr:rowOff>
    </xdr:to>
    <xdr:sp macro="" textlink="">
      <xdr:nvSpPr>
        <xdr:cNvPr id="6682" name="Text 93"/>
        <xdr:cNvSpPr txBox="1">
          <a:spLocks noChangeArrowheads="1"/>
        </xdr:cNvSpPr>
      </xdr:nvSpPr>
      <xdr:spPr bwMode="auto">
        <a:xfrm>
          <a:off x="685800"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74</xdr:row>
      <xdr:rowOff>0</xdr:rowOff>
    </xdr:from>
    <xdr:to>
      <xdr:col>1</xdr:col>
      <xdr:colOff>0</xdr:colOff>
      <xdr:row>74</xdr:row>
      <xdr:rowOff>0</xdr:rowOff>
    </xdr:to>
    <xdr:sp macro="" textlink="">
      <xdr:nvSpPr>
        <xdr:cNvPr id="6683" name="Text 94"/>
        <xdr:cNvSpPr txBox="1">
          <a:spLocks noChangeArrowheads="1"/>
        </xdr:cNvSpPr>
      </xdr:nvSpPr>
      <xdr:spPr bwMode="auto">
        <a:xfrm>
          <a:off x="685800" y="14506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684" name="Text 95"/>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75</xdr:row>
      <xdr:rowOff>0</xdr:rowOff>
    </xdr:from>
    <xdr:to>
      <xdr:col>1</xdr:col>
      <xdr:colOff>0</xdr:colOff>
      <xdr:row>75</xdr:row>
      <xdr:rowOff>0</xdr:rowOff>
    </xdr:to>
    <xdr:sp macro="" textlink="">
      <xdr:nvSpPr>
        <xdr:cNvPr id="6685" name="Text 96"/>
        <xdr:cNvSpPr txBox="1">
          <a:spLocks noChangeArrowheads="1"/>
        </xdr:cNvSpPr>
      </xdr:nvSpPr>
      <xdr:spPr bwMode="auto">
        <a:xfrm>
          <a:off x="685800" y="1470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686" name="Text 97"/>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75</xdr:row>
      <xdr:rowOff>0</xdr:rowOff>
    </xdr:from>
    <xdr:to>
      <xdr:col>1</xdr:col>
      <xdr:colOff>0</xdr:colOff>
      <xdr:row>75</xdr:row>
      <xdr:rowOff>0</xdr:rowOff>
    </xdr:to>
    <xdr:sp macro="" textlink="">
      <xdr:nvSpPr>
        <xdr:cNvPr id="6687" name="Text 98"/>
        <xdr:cNvSpPr txBox="1">
          <a:spLocks noChangeArrowheads="1"/>
        </xdr:cNvSpPr>
      </xdr:nvSpPr>
      <xdr:spPr bwMode="auto">
        <a:xfrm>
          <a:off x="685800" y="1470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688" name="Text 99"/>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689" name="Text 100"/>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75</xdr:row>
      <xdr:rowOff>0</xdr:rowOff>
    </xdr:from>
    <xdr:to>
      <xdr:col>1</xdr:col>
      <xdr:colOff>0</xdr:colOff>
      <xdr:row>75</xdr:row>
      <xdr:rowOff>0</xdr:rowOff>
    </xdr:to>
    <xdr:sp macro="" textlink="">
      <xdr:nvSpPr>
        <xdr:cNvPr id="6690" name="Text 101"/>
        <xdr:cNvSpPr txBox="1">
          <a:spLocks noChangeArrowheads="1"/>
        </xdr:cNvSpPr>
      </xdr:nvSpPr>
      <xdr:spPr bwMode="auto">
        <a:xfrm>
          <a:off x="685800" y="1470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691" name="Text 102"/>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692" name="Text 103"/>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693" name="Text 104"/>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75</xdr:row>
      <xdr:rowOff>0</xdr:rowOff>
    </xdr:from>
    <xdr:to>
      <xdr:col>1</xdr:col>
      <xdr:colOff>0</xdr:colOff>
      <xdr:row>75</xdr:row>
      <xdr:rowOff>0</xdr:rowOff>
    </xdr:to>
    <xdr:sp macro="" textlink="">
      <xdr:nvSpPr>
        <xdr:cNvPr id="6694" name="Text 105"/>
        <xdr:cNvSpPr txBox="1">
          <a:spLocks noChangeArrowheads="1"/>
        </xdr:cNvSpPr>
      </xdr:nvSpPr>
      <xdr:spPr bwMode="auto">
        <a:xfrm>
          <a:off x="685800" y="1470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695" name="Text 106"/>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696" name="Text 107"/>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697" name="Text 108"/>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698" name="Text 109"/>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75</xdr:row>
      <xdr:rowOff>0</xdr:rowOff>
    </xdr:from>
    <xdr:to>
      <xdr:col>1</xdr:col>
      <xdr:colOff>0</xdr:colOff>
      <xdr:row>75</xdr:row>
      <xdr:rowOff>0</xdr:rowOff>
    </xdr:to>
    <xdr:sp macro="" textlink="">
      <xdr:nvSpPr>
        <xdr:cNvPr id="6699" name="Text 110"/>
        <xdr:cNvSpPr txBox="1">
          <a:spLocks noChangeArrowheads="1"/>
        </xdr:cNvSpPr>
      </xdr:nvSpPr>
      <xdr:spPr bwMode="auto">
        <a:xfrm>
          <a:off x="685800" y="1470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700" name="Text 111"/>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701" name="Text 112"/>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702" name="Text 113"/>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703" name="Text 114"/>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79</xdr:row>
      <xdr:rowOff>0</xdr:rowOff>
    </xdr:from>
    <xdr:to>
      <xdr:col>1</xdr:col>
      <xdr:colOff>0</xdr:colOff>
      <xdr:row>79</xdr:row>
      <xdr:rowOff>0</xdr:rowOff>
    </xdr:to>
    <xdr:sp macro="" textlink="">
      <xdr:nvSpPr>
        <xdr:cNvPr id="6704" name="Text 115"/>
        <xdr:cNvSpPr txBox="1">
          <a:spLocks noChangeArrowheads="1"/>
        </xdr:cNvSpPr>
      </xdr:nvSpPr>
      <xdr:spPr bwMode="auto">
        <a:xfrm>
          <a:off x="685800" y="15506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75</xdr:row>
      <xdr:rowOff>0</xdr:rowOff>
    </xdr:from>
    <xdr:to>
      <xdr:col>1</xdr:col>
      <xdr:colOff>0</xdr:colOff>
      <xdr:row>75</xdr:row>
      <xdr:rowOff>0</xdr:rowOff>
    </xdr:to>
    <xdr:sp macro="" textlink="">
      <xdr:nvSpPr>
        <xdr:cNvPr id="6705" name="Text 116"/>
        <xdr:cNvSpPr txBox="1">
          <a:spLocks noChangeArrowheads="1"/>
        </xdr:cNvSpPr>
      </xdr:nvSpPr>
      <xdr:spPr bwMode="auto">
        <a:xfrm>
          <a:off x="685800" y="1470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83</xdr:row>
      <xdr:rowOff>0</xdr:rowOff>
    </xdr:from>
    <xdr:to>
      <xdr:col>1</xdr:col>
      <xdr:colOff>0</xdr:colOff>
      <xdr:row>83</xdr:row>
      <xdr:rowOff>0</xdr:rowOff>
    </xdr:to>
    <xdr:sp macro="" textlink="">
      <xdr:nvSpPr>
        <xdr:cNvPr id="6706" name="Text 117"/>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708660</xdr:colOff>
      <xdr:row>83</xdr:row>
      <xdr:rowOff>0</xdr:rowOff>
    </xdr:from>
    <xdr:to>
      <xdr:col>0</xdr:col>
      <xdr:colOff>708660</xdr:colOff>
      <xdr:row>83</xdr:row>
      <xdr:rowOff>0</xdr:rowOff>
    </xdr:to>
    <xdr:sp macro="" textlink="">
      <xdr:nvSpPr>
        <xdr:cNvPr id="6707" name="Text 118"/>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0</xdr:col>
      <xdr:colOff>1914525</xdr:colOff>
      <xdr:row>83</xdr:row>
      <xdr:rowOff>0</xdr:rowOff>
    </xdr:from>
    <xdr:to>
      <xdr:col>1</xdr:col>
      <xdr:colOff>0</xdr:colOff>
      <xdr:row>83</xdr:row>
      <xdr:rowOff>0</xdr:rowOff>
    </xdr:to>
    <xdr:sp macro="" textlink="">
      <xdr:nvSpPr>
        <xdr:cNvPr id="6708" name="Text 119"/>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83</xdr:row>
      <xdr:rowOff>0</xdr:rowOff>
    </xdr:from>
    <xdr:to>
      <xdr:col>1</xdr:col>
      <xdr:colOff>0</xdr:colOff>
      <xdr:row>83</xdr:row>
      <xdr:rowOff>0</xdr:rowOff>
    </xdr:to>
    <xdr:sp macro="" textlink="">
      <xdr:nvSpPr>
        <xdr:cNvPr id="6709" name="Text 120"/>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83</xdr:row>
      <xdr:rowOff>0</xdr:rowOff>
    </xdr:from>
    <xdr:to>
      <xdr:col>1</xdr:col>
      <xdr:colOff>0</xdr:colOff>
      <xdr:row>83</xdr:row>
      <xdr:rowOff>0</xdr:rowOff>
    </xdr:to>
    <xdr:sp macro="" textlink="">
      <xdr:nvSpPr>
        <xdr:cNvPr id="6710" name="Text 121"/>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83</xdr:row>
      <xdr:rowOff>0</xdr:rowOff>
    </xdr:from>
    <xdr:to>
      <xdr:col>1</xdr:col>
      <xdr:colOff>0</xdr:colOff>
      <xdr:row>83</xdr:row>
      <xdr:rowOff>0</xdr:rowOff>
    </xdr:to>
    <xdr:sp macro="" textlink="">
      <xdr:nvSpPr>
        <xdr:cNvPr id="6711" name="Text 122"/>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0</xdr:col>
      <xdr:colOff>1914525</xdr:colOff>
      <xdr:row>83</xdr:row>
      <xdr:rowOff>0</xdr:rowOff>
    </xdr:from>
    <xdr:to>
      <xdr:col>1</xdr:col>
      <xdr:colOff>0</xdr:colOff>
      <xdr:row>83</xdr:row>
      <xdr:rowOff>0</xdr:rowOff>
    </xdr:to>
    <xdr:sp macro="" textlink="">
      <xdr:nvSpPr>
        <xdr:cNvPr id="6712" name="Text 123"/>
        <xdr:cNvSpPr txBox="1">
          <a:spLocks noChangeArrowheads="1"/>
        </xdr:cNvSpPr>
      </xdr:nvSpPr>
      <xdr:spPr bwMode="auto">
        <a:xfrm>
          <a:off x="685800" y="16306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6713" name="Text 1"/>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78</xdr:row>
      <xdr:rowOff>0</xdr:rowOff>
    </xdr:from>
    <xdr:to>
      <xdr:col>1</xdr:col>
      <xdr:colOff>1930083</xdr:colOff>
      <xdr:row>78</xdr:row>
      <xdr:rowOff>0</xdr:rowOff>
    </xdr:to>
    <xdr:sp macro="" textlink="">
      <xdr:nvSpPr>
        <xdr:cNvPr id="6714" name="Text 3"/>
        <xdr:cNvSpPr txBox="1">
          <a:spLocks noChangeArrowheads="1"/>
        </xdr:cNvSpPr>
      </xdr:nvSpPr>
      <xdr:spPr bwMode="auto">
        <a:xfrm>
          <a:off x="2562225"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6715" name="Text 5"/>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78</xdr:row>
      <xdr:rowOff>0</xdr:rowOff>
    </xdr:from>
    <xdr:to>
      <xdr:col>1</xdr:col>
      <xdr:colOff>1930083</xdr:colOff>
      <xdr:row>78</xdr:row>
      <xdr:rowOff>0</xdr:rowOff>
    </xdr:to>
    <xdr:sp macro="" textlink="">
      <xdr:nvSpPr>
        <xdr:cNvPr id="6716" name="Text 7"/>
        <xdr:cNvSpPr txBox="1">
          <a:spLocks noChangeArrowheads="1"/>
        </xdr:cNvSpPr>
      </xdr:nvSpPr>
      <xdr:spPr bwMode="auto">
        <a:xfrm>
          <a:off x="2562225"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6717" name="Text 9"/>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6718" name="Text 11"/>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78</xdr:row>
      <xdr:rowOff>0</xdr:rowOff>
    </xdr:from>
    <xdr:to>
      <xdr:col>1</xdr:col>
      <xdr:colOff>1930083</xdr:colOff>
      <xdr:row>78</xdr:row>
      <xdr:rowOff>0</xdr:rowOff>
    </xdr:to>
    <xdr:sp macro="" textlink="">
      <xdr:nvSpPr>
        <xdr:cNvPr id="6719" name="Text 13"/>
        <xdr:cNvSpPr txBox="1">
          <a:spLocks noChangeArrowheads="1"/>
        </xdr:cNvSpPr>
      </xdr:nvSpPr>
      <xdr:spPr bwMode="auto">
        <a:xfrm>
          <a:off x="2562225"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6720" name="Text 15"/>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6721" name="Text 17"/>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6722" name="Text 19"/>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78</xdr:row>
      <xdr:rowOff>0</xdr:rowOff>
    </xdr:from>
    <xdr:to>
      <xdr:col>1</xdr:col>
      <xdr:colOff>1930083</xdr:colOff>
      <xdr:row>78</xdr:row>
      <xdr:rowOff>0</xdr:rowOff>
    </xdr:to>
    <xdr:sp macro="" textlink="">
      <xdr:nvSpPr>
        <xdr:cNvPr id="6723" name="Text 21"/>
        <xdr:cNvSpPr txBox="1">
          <a:spLocks noChangeArrowheads="1"/>
        </xdr:cNvSpPr>
      </xdr:nvSpPr>
      <xdr:spPr bwMode="auto">
        <a:xfrm>
          <a:off x="2562225"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6724" name="Text 23"/>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6725" name="Text 25"/>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6726" name="Text 27"/>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6727" name="Text 29"/>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78</xdr:row>
      <xdr:rowOff>0</xdr:rowOff>
    </xdr:from>
    <xdr:to>
      <xdr:col>1</xdr:col>
      <xdr:colOff>1930083</xdr:colOff>
      <xdr:row>78</xdr:row>
      <xdr:rowOff>0</xdr:rowOff>
    </xdr:to>
    <xdr:sp macro="" textlink="">
      <xdr:nvSpPr>
        <xdr:cNvPr id="6728" name="Text 31"/>
        <xdr:cNvSpPr txBox="1">
          <a:spLocks noChangeArrowheads="1"/>
        </xdr:cNvSpPr>
      </xdr:nvSpPr>
      <xdr:spPr bwMode="auto">
        <a:xfrm>
          <a:off x="2562225"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6729" name="Text 33"/>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6730" name="Text 35"/>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6731" name="Text 37"/>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6732" name="Text 39"/>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82</xdr:row>
      <xdr:rowOff>0</xdr:rowOff>
    </xdr:from>
    <xdr:to>
      <xdr:col>1</xdr:col>
      <xdr:colOff>1930083</xdr:colOff>
      <xdr:row>82</xdr:row>
      <xdr:rowOff>0</xdr:rowOff>
    </xdr:to>
    <xdr:sp macro="" textlink="">
      <xdr:nvSpPr>
        <xdr:cNvPr id="6733" name="Text 41"/>
        <xdr:cNvSpPr txBox="1">
          <a:spLocks noChangeArrowheads="1"/>
        </xdr:cNvSpPr>
      </xdr:nvSpPr>
      <xdr:spPr bwMode="auto">
        <a:xfrm>
          <a:off x="2562225" y="161067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78</xdr:row>
      <xdr:rowOff>0</xdr:rowOff>
    </xdr:from>
    <xdr:to>
      <xdr:col>1</xdr:col>
      <xdr:colOff>1930083</xdr:colOff>
      <xdr:row>78</xdr:row>
      <xdr:rowOff>0</xdr:rowOff>
    </xdr:to>
    <xdr:sp macro="" textlink="">
      <xdr:nvSpPr>
        <xdr:cNvPr id="6734" name="Text 43"/>
        <xdr:cNvSpPr txBox="1">
          <a:spLocks noChangeArrowheads="1"/>
        </xdr:cNvSpPr>
      </xdr:nvSpPr>
      <xdr:spPr bwMode="auto">
        <a:xfrm>
          <a:off x="2562225" y="15306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87</xdr:row>
      <xdr:rowOff>0</xdr:rowOff>
    </xdr:from>
    <xdr:to>
      <xdr:col>1</xdr:col>
      <xdr:colOff>1930083</xdr:colOff>
      <xdr:row>87</xdr:row>
      <xdr:rowOff>0</xdr:rowOff>
    </xdr:to>
    <xdr:sp macro="" textlink="">
      <xdr:nvSpPr>
        <xdr:cNvPr id="6735" name="Text 45"/>
        <xdr:cNvSpPr txBox="1">
          <a:spLocks noChangeArrowheads="1"/>
        </xdr:cNvSpPr>
      </xdr:nvSpPr>
      <xdr:spPr bwMode="auto">
        <a:xfrm>
          <a:off x="2562225" y="17106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1607820</xdr:colOff>
      <xdr:row>87</xdr:row>
      <xdr:rowOff>0</xdr:rowOff>
    </xdr:from>
    <xdr:to>
      <xdr:col>1</xdr:col>
      <xdr:colOff>1922145</xdr:colOff>
      <xdr:row>87</xdr:row>
      <xdr:rowOff>0</xdr:rowOff>
    </xdr:to>
    <xdr:sp macro="" textlink="">
      <xdr:nvSpPr>
        <xdr:cNvPr id="6736" name="Text 46"/>
        <xdr:cNvSpPr txBox="1">
          <a:spLocks noChangeArrowheads="1"/>
        </xdr:cNvSpPr>
      </xdr:nvSpPr>
      <xdr:spPr bwMode="auto">
        <a:xfrm>
          <a:off x="2247900" y="1710690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22860" anchor="t" upright="1"/>
        <a:lstStyle/>
        <a:p>
          <a:pPr algn="ctr" rtl="0">
            <a:defRPr sz="1000"/>
          </a:pPr>
          <a:r>
            <a:rPr lang="en-AU" sz="1200" b="0" i="0" u="none" strike="noStrike" baseline="0">
              <a:solidFill>
                <a:srgbClr val="000000"/>
              </a:solidFill>
              <a:latin typeface="Times New Roman"/>
              <a:cs typeface="Times New Roman"/>
            </a:rPr>
            <a:t>Steady-state yield (trays/tree)</a:t>
          </a:r>
        </a:p>
      </xdr:txBody>
    </xdr:sp>
    <xdr:clientData/>
  </xdr:twoCellAnchor>
  <xdr:twoCellAnchor>
    <xdr:from>
      <xdr:col>1</xdr:col>
      <xdr:colOff>1922145</xdr:colOff>
      <xdr:row>87</xdr:row>
      <xdr:rowOff>0</xdr:rowOff>
    </xdr:from>
    <xdr:to>
      <xdr:col>1</xdr:col>
      <xdr:colOff>1930083</xdr:colOff>
      <xdr:row>87</xdr:row>
      <xdr:rowOff>0</xdr:rowOff>
    </xdr:to>
    <xdr:sp macro="" textlink="">
      <xdr:nvSpPr>
        <xdr:cNvPr id="6737" name="Text 47"/>
        <xdr:cNvSpPr txBox="1">
          <a:spLocks noChangeArrowheads="1"/>
        </xdr:cNvSpPr>
      </xdr:nvSpPr>
      <xdr:spPr bwMode="auto">
        <a:xfrm>
          <a:off x="2562225" y="17106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87</xdr:row>
      <xdr:rowOff>0</xdr:rowOff>
    </xdr:from>
    <xdr:to>
      <xdr:col>1</xdr:col>
      <xdr:colOff>1930083</xdr:colOff>
      <xdr:row>87</xdr:row>
      <xdr:rowOff>0</xdr:rowOff>
    </xdr:to>
    <xdr:sp macro="" textlink="">
      <xdr:nvSpPr>
        <xdr:cNvPr id="6738" name="Text 48"/>
        <xdr:cNvSpPr txBox="1">
          <a:spLocks noChangeArrowheads="1"/>
        </xdr:cNvSpPr>
      </xdr:nvSpPr>
      <xdr:spPr bwMode="auto">
        <a:xfrm>
          <a:off x="2562225" y="17106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87</xdr:row>
      <xdr:rowOff>0</xdr:rowOff>
    </xdr:from>
    <xdr:to>
      <xdr:col>1</xdr:col>
      <xdr:colOff>1930083</xdr:colOff>
      <xdr:row>87</xdr:row>
      <xdr:rowOff>0</xdr:rowOff>
    </xdr:to>
    <xdr:sp macro="" textlink="">
      <xdr:nvSpPr>
        <xdr:cNvPr id="6739" name="Text 49"/>
        <xdr:cNvSpPr txBox="1">
          <a:spLocks noChangeArrowheads="1"/>
        </xdr:cNvSpPr>
      </xdr:nvSpPr>
      <xdr:spPr bwMode="auto">
        <a:xfrm>
          <a:off x="2562225" y="17106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87</xdr:row>
      <xdr:rowOff>0</xdr:rowOff>
    </xdr:from>
    <xdr:to>
      <xdr:col>1</xdr:col>
      <xdr:colOff>1930083</xdr:colOff>
      <xdr:row>87</xdr:row>
      <xdr:rowOff>0</xdr:rowOff>
    </xdr:to>
    <xdr:sp macro="" textlink="">
      <xdr:nvSpPr>
        <xdr:cNvPr id="6740" name="Text 50"/>
        <xdr:cNvSpPr txBox="1">
          <a:spLocks noChangeArrowheads="1"/>
        </xdr:cNvSpPr>
      </xdr:nvSpPr>
      <xdr:spPr bwMode="auto">
        <a:xfrm>
          <a:off x="2562225" y="17106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twoCellAnchor>
    <xdr:from>
      <xdr:col>1</xdr:col>
      <xdr:colOff>1922145</xdr:colOff>
      <xdr:row>87</xdr:row>
      <xdr:rowOff>0</xdr:rowOff>
    </xdr:from>
    <xdr:to>
      <xdr:col>1</xdr:col>
      <xdr:colOff>1930083</xdr:colOff>
      <xdr:row>87</xdr:row>
      <xdr:rowOff>0</xdr:rowOff>
    </xdr:to>
    <xdr:sp macro="" textlink="">
      <xdr:nvSpPr>
        <xdr:cNvPr id="6741" name="Text 51"/>
        <xdr:cNvSpPr txBox="1">
          <a:spLocks noChangeArrowheads="1"/>
        </xdr:cNvSpPr>
      </xdr:nvSpPr>
      <xdr:spPr bwMode="auto">
        <a:xfrm>
          <a:off x="2562225" y="17106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0" bIns="0" anchor="t" upright="1"/>
        <a:lstStyle/>
        <a:p>
          <a:pPr algn="r" rtl="0">
            <a:defRPr sz="1000"/>
          </a:pPr>
          <a:r>
            <a:rPr lang="en-AU" sz="1200" b="0" i="0" u="none" strike="noStrike" baseline="0">
              <a:solidFill>
                <a:srgbClr val="000000"/>
              </a:solidFill>
              <a:latin typeface="Times New Roman"/>
              <a:cs typeface="Times New Roman"/>
            </a:rPr>
            <a:t>Yield (trays/tree)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xdr:colOff>
      <xdr:row>71</xdr:row>
      <xdr:rowOff>85725</xdr:rowOff>
    </xdr:from>
    <xdr:to>
      <xdr:col>6</xdr:col>
      <xdr:colOff>47625</xdr:colOff>
      <xdr:row>77</xdr:row>
      <xdr:rowOff>123825</xdr:rowOff>
    </xdr:to>
    <xdr:sp macro="" textlink="">
      <xdr:nvSpPr>
        <xdr:cNvPr id="29697" name="Text Box 1"/>
        <xdr:cNvSpPr txBox="1">
          <a:spLocks noChangeArrowheads="1"/>
        </xdr:cNvSpPr>
      </xdr:nvSpPr>
      <xdr:spPr bwMode="auto">
        <a:xfrm>
          <a:off x="66675" y="14458950"/>
          <a:ext cx="6715125" cy="12382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0C0C0" mc:Ignorable="a14" a14:legacySpreadsheetColorIndex="22"/>
              </a:solidFill>
            </a14:hiddenFill>
          </a:ext>
        </a:extLst>
      </xdr:spPr>
      <xdr:txBody>
        <a:bodyPr vertOverflow="clip" wrap="square" lIns="36576" tIns="27432" rIns="0" bIns="0" anchor="t" upright="1"/>
        <a:lstStyle/>
        <a:p>
          <a:pPr algn="l" rtl="0">
            <a:defRPr sz="1000"/>
          </a:pPr>
          <a:r>
            <a:rPr lang="en-AU" sz="1400" b="1" i="0" u="none" strike="noStrike" baseline="0">
              <a:solidFill>
                <a:srgbClr val="000000"/>
              </a:solidFill>
              <a:latin typeface="Arial"/>
              <a:cs typeface="Arial"/>
            </a:rPr>
            <a:t>Year of purchase</a:t>
          </a:r>
          <a:r>
            <a:rPr lang="en-AU" sz="1400" b="0" i="0" u="none" strike="noStrike" baseline="0">
              <a:solidFill>
                <a:srgbClr val="000000"/>
              </a:solidFill>
              <a:latin typeface="Arial"/>
              <a:cs typeface="Arial"/>
            </a:rPr>
            <a:t> - When did you buy the item? The majority of capital items are bought in Year 0 which denoted the start up of the project.</a:t>
          </a:r>
        </a:p>
        <a:p>
          <a:pPr algn="l" rtl="0">
            <a:defRPr sz="1000"/>
          </a:pPr>
          <a:endParaRPr lang="en-AU" sz="1400" b="0" i="0" u="none" strike="noStrike" baseline="0">
            <a:solidFill>
              <a:srgbClr val="000000"/>
            </a:solidFill>
            <a:latin typeface="Arial"/>
            <a:cs typeface="Arial"/>
          </a:endParaRPr>
        </a:p>
        <a:p>
          <a:pPr algn="l" rtl="0">
            <a:defRPr sz="1000"/>
          </a:pPr>
          <a:r>
            <a:rPr lang="en-AU" sz="1400" b="1" i="0" u="none" strike="noStrike" baseline="0">
              <a:solidFill>
                <a:srgbClr val="000000"/>
              </a:solidFill>
              <a:latin typeface="Arial"/>
              <a:cs typeface="Arial"/>
            </a:rPr>
            <a:t>Scrap Value </a:t>
          </a:r>
          <a:r>
            <a:rPr lang="en-AU" sz="1400" b="0" i="0" u="none" strike="noStrike" baseline="0">
              <a:solidFill>
                <a:srgbClr val="000000"/>
              </a:solidFill>
              <a:latin typeface="Arial"/>
              <a:cs typeface="Arial"/>
            </a:rPr>
            <a:t>- What % of the the price can you expect to get for the item once its useful life has passed.</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xdr:colOff>
          <xdr:row>0</xdr:row>
          <xdr:rowOff>198120</xdr:rowOff>
        </xdr:from>
        <xdr:to>
          <xdr:col>3</xdr:col>
          <xdr:colOff>243840</xdr:colOff>
          <xdr:row>1</xdr:row>
          <xdr:rowOff>144780</xdr:rowOff>
        </xdr:to>
        <xdr:sp macro="" textlink="">
          <xdr:nvSpPr>
            <xdr:cNvPr id="25601" name="Spinner 1" hidden="1">
              <a:extLst>
                <a:ext uri="{63B3BB69-23CF-44E3-9099-C40C66FF867C}">
                  <a14:compatExt spid="_x0000_s25601"/>
                </a:ext>
              </a:extLst>
            </xdr:cNvPr>
            <xdr:cNvSpPr/>
          </xdr:nvSpPr>
          <xdr:spPr>
            <a:xfrm>
              <a:off x="0" y="0"/>
              <a:ext cx="0" cy="0"/>
            </a:xfrm>
            <a:prstGeom prst="rect">
              <a:avLst/>
            </a:prstGeom>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4</xdr:col>
      <xdr:colOff>7620</xdr:colOff>
      <xdr:row>36</xdr:row>
      <xdr:rowOff>0</xdr:rowOff>
    </xdr:from>
    <xdr:to>
      <xdr:col>14</xdr:col>
      <xdr:colOff>0</xdr:colOff>
      <xdr:row>36</xdr:row>
      <xdr:rowOff>0</xdr:rowOff>
    </xdr:to>
    <xdr:graphicFrame macro="">
      <xdr:nvGraphicFramePr>
        <xdr:cNvPr id="2662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68580</xdr:colOff>
      <xdr:row>1</xdr:row>
      <xdr:rowOff>76200</xdr:rowOff>
    </xdr:from>
    <xdr:to>
      <xdr:col>15</xdr:col>
      <xdr:colOff>701040</xdr:colOff>
      <xdr:row>23</xdr:row>
      <xdr:rowOff>7620</xdr:rowOff>
    </xdr:to>
    <xdr:graphicFrame macro="">
      <xdr:nvGraphicFramePr>
        <xdr:cNvPr id="2662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68580</xdr:colOff>
      <xdr:row>23</xdr:row>
      <xdr:rowOff>83820</xdr:rowOff>
    </xdr:from>
    <xdr:to>
      <xdr:col>16</xdr:col>
      <xdr:colOff>7620</xdr:colOff>
      <xdr:row>43</xdr:row>
      <xdr:rowOff>106680</xdr:rowOff>
    </xdr:to>
    <xdr:graphicFrame macro="">
      <xdr:nvGraphicFramePr>
        <xdr:cNvPr id="2663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lfe/AppData/Local/Packages/Microsoft.MicrosoftEdge_8wekyb3d8bbwe/TempState/Downloads/Cashew%20Whole%20Farm%20Model%20FNQ.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Farm Parameters"/>
      <sheetName val="Price &amp; Yields"/>
      <sheetName val="GM Information"/>
      <sheetName val="Year 1"/>
      <sheetName val="Year 2"/>
      <sheetName val="Year 3"/>
      <sheetName val="Year 4"/>
      <sheetName val="Year 5"/>
      <sheetName val="Year 6"/>
      <sheetName val="Year 7"/>
      <sheetName val="Year 8"/>
      <sheetName val="Year 9"/>
      <sheetName val="Year 10"/>
      <sheetName val="Year 11"/>
      <sheetName val="Year 12+"/>
      <sheetName val="FORM"/>
      <sheetName val="Fixed Costs"/>
      <sheetName val="Capital Cost"/>
      <sheetName val="DCF"/>
      <sheetName val="Summary"/>
      <sheetName val="Graphs"/>
      <sheetName val="Development Budget"/>
      <sheetName val="Amortised Loa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1">
          <cell r="A1" t="str">
            <v>INTEREST RATES AND LOAN REPAYMENTS BANK LOAN</v>
          </cell>
        </row>
        <row r="3">
          <cell r="A3" t="str">
            <v>PRINCIPLE</v>
          </cell>
          <cell r="C3">
            <v>-1376700</v>
          </cell>
        </row>
        <row r="4">
          <cell r="A4" t="str">
            <v>INTEREST RATE</v>
          </cell>
          <cell r="C4">
            <v>0.08</v>
          </cell>
        </row>
        <row r="5">
          <cell r="A5" t="str">
            <v>TERM (years)</v>
          </cell>
          <cell r="C5">
            <v>20</v>
          </cell>
        </row>
        <row r="6">
          <cell r="A6" t="str">
            <v>ANNUITY</v>
          </cell>
          <cell r="C6">
            <v>-140219.9358868314</v>
          </cell>
        </row>
        <row r="9">
          <cell r="C9" t="str">
            <v>INTEREST</v>
          </cell>
          <cell r="D9" t="str">
            <v>PRINCIPAL</v>
          </cell>
          <cell r="E9" t="str">
            <v xml:space="preserve">TOTAL </v>
          </cell>
          <cell r="F9" t="str">
            <v>PRINCIPLE</v>
          </cell>
          <cell r="G9" t="str">
            <v>EQUITY</v>
          </cell>
        </row>
        <row r="10">
          <cell r="B10" t="str">
            <v>YEARS</v>
          </cell>
          <cell r="C10" t="str">
            <v>DUE AT END</v>
          </cell>
          <cell r="D10" t="str">
            <v>REPAID</v>
          </cell>
          <cell r="E10" t="str">
            <v>ANNUAL</v>
          </cell>
          <cell r="F10" t="str">
            <v>OUTSTANDING</v>
          </cell>
          <cell r="G10" t="str">
            <v>OF LOAN</v>
          </cell>
        </row>
        <row r="11">
          <cell r="B11" t="str">
            <v xml:space="preserve"> </v>
          </cell>
          <cell r="C11" t="str">
            <v>OF YEAR</v>
          </cell>
          <cell r="D11" t="str">
            <v>ANNUALLY</v>
          </cell>
          <cell r="E11" t="str">
            <v>PAYMENT</v>
          </cell>
          <cell r="F11" t="str">
            <v xml:space="preserve"> </v>
          </cell>
          <cell r="G11" t="str">
            <v xml:space="preserve"> </v>
          </cell>
        </row>
        <row r="12">
          <cell r="C12" t="str">
            <v>($)</v>
          </cell>
          <cell r="D12" t="str">
            <v>($)</v>
          </cell>
          <cell r="E12" t="str">
            <v>($)</v>
          </cell>
          <cell r="F12" t="str">
            <v>($)</v>
          </cell>
          <cell r="G12" t="str">
            <v>(%)</v>
          </cell>
        </row>
        <row r="13">
          <cell r="B13">
            <v>0</v>
          </cell>
          <cell r="E13">
            <v>1376700</v>
          </cell>
        </row>
        <row r="14">
          <cell r="B14">
            <v>1</v>
          </cell>
          <cell r="C14">
            <v>-110136</v>
          </cell>
          <cell r="D14">
            <v>-30083.935886831401</v>
          </cell>
          <cell r="E14">
            <v>-140219.9358868314</v>
          </cell>
          <cell r="F14">
            <v>-1376700</v>
          </cell>
          <cell r="G14">
            <v>2.1852208823150577E-2</v>
          </cell>
        </row>
        <row r="15">
          <cell r="B15">
            <v>2</v>
          </cell>
          <cell r="C15">
            <v>-107729.28512905349</v>
          </cell>
          <cell r="D15">
            <v>-32490.650757777912</v>
          </cell>
          <cell r="E15">
            <v>-140219.9358868314</v>
          </cell>
          <cell r="F15">
            <v>-1346616.0641131685</v>
          </cell>
          <cell r="G15">
            <v>4.5452594352153201E-2</v>
          </cell>
        </row>
        <row r="16">
          <cell r="B16">
            <v>3</v>
          </cell>
          <cell r="C16">
            <v>-105130.03306843125</v>
          </cell>
          <cell r="D16">
            <v>-35089.902818400151</v>
          </cell>
          <cell r="E16">
            <v>-140219.9358868314</v>
          </cell>
          <cell r="F16">
            <v>-1314125.4133553905</v>
          </cell>
          <cell r="G16">
            <v>7.0941010723476042E-2</v>
          </cell>
        </row>
        <row r="17">
          <cell r="B17">
            <v>4</v>
          </cell>
          <cell r="C17">
            <v>-102322.84084295924</v>
          </cell>
          <cell r="D17">
            <v>-37897.095043872163</v>
          </cell>
          <cell r="E17">
            <v>-140219.9358868314</v>
          </cell>
          <cell r="F17">
            <v>-1279035.5105369904</v>
          </cell>
          <cell r="G17">
            <v>9.8468500404504708E-2</v>
          </cell>
        </row>
        <row r="18">
          <cell r="B18">
            <v>5</v>
          </cell>
          <cell r="C18">
            <v>-99291.07323944947</v>
          </cell>
          <cell r="D18">
            <v>-40928.862647381931</v>
          </cell>
          <cell r="E18">
            <v>-140219.9358868314</v>
          </cell>
          <cell r="F18">
            <v>-1241138.4154931181</v>
          </cell>
          <cell r="G18">
            <v>0.12819818926001567</v>
          </cell>
        </row>
        <row r="19">
          <cell r="B19">
            <v>6</v>
          </cell>
          <cell r="C19">
            <v>-96016.764227658918</v>
          </cell>
          <cell r="D19">
            <v>-44203.171659172483</v>
          </cell>
          <cell r="E19">
            <v>-140219.9358868314</v>
          </cell>
          <cell r="F19">
            <v>-1200209.5528457363</v>
          </cell>
          <cell r="G19">
            <v>0.16030625322396749</v>
          </cell>
        </row>
        <row r="20">
          <cell r="B20">
            <v>7</v>
          </cell>
          <cell r="C20">
            <v>-92480.510494925111</v>
          </cell>
          <cell r="D20">
            <v>-47739.42539190629</v>
          </cell>
          <cell r="E20">
            <v>-140219.9358868314</v>
          </cell>
          <cell r="F20">
            <v>-1156006.3811865638</v>
          </cell>
          <cell r="G20">
            <v>0.19498296230503545</v>
          </cell>
        </row>
        <row r="21">
          <cell r="B21">
            <v>8</v>
          </cell>
          <cell r="C21">
            <v>-88661.356463572622</v>
          </cell>
          <cell r="D21">
            <v>-51558.57942325878</v>
          </cell>
          <cell r="E21">
            <v>-140219.9358868314</v>
          </cell>
          <cell r="F21">
            <v>-1108266.9557946576</v>
          </cell>
          <cell r="G21">
            <v>0.23243380811258885</v>
          </cell>
        </row>
        <row r="22">
          <cell r="B22">
            <v>9</v>
          </cell>
          <cell r="C22">
            <v>-84536.670109711908</v>
          </cell>
          <cell r="D22">
            <v>-55683.265777119494</v>
          </cell>
          <cell r="E22">
            <v>-140219.9358868314</v>
          </cell>
          <cell r="F22">
            <v>-1056708.3763713988</v>
          </cell>
          <cell r="G22">
            <v>0.27288072158474658</v>
          </cell>
        </row>
        <row r="23">
          <cell r="B23">
            <v>10</v>
          </cell>
          <cell r="C23">
            <v>-80082.008847542354</v>
          </cell>
          <cell r="D23">
            <v>-60137.927039289047</v>
          </cell>
          <cell r="E23">
            <v>-140219.9358868314</v>
          </cell>
          <cell r="F23">
            <v>-1001025.1105942794</v>
          </cell>
          <cell r="G23">
            <v>0.31656338813467683</v>
          </cell>
        </row>
        <row r="24">
          <cell r="B24">
            <v>11</v>
          </cell>
          <cell r="C24">
            <v>-75270.974684399233</v>
          </cell>
          <cell r="D24">
            <v>-64948.961202432169</v>
          </cell>
          <cell r="E24">
            <v>-140219.9358868314</v>
          </cell>
          <cell r="F24">
            <v>-940887.18355499033</v>
          </cell>
          <cell r="G24">
            <v>0.36374066800860155</v>
          </cell>
        </row>
        <row r="25">
          <cell r="B25">
            <v>12</v>
          </cell>
          <cell r="C25">
            <v>-70075.057788204664</v>
          </cell>
          <cell r="D25">
            <v>-70144.878098626737</v>
          </cell>
          <cell r="E25">
            <v>-140219.9358868314</v>
          </cell>
          <cell r="F25">
            <v>-875938.22235255816</v>
          </cell>
          <cell r="G25">
            <v>0.41469213027244028</v>
          </cell>
        </row>
        <row r="26">
          <cell r="B26">
            <v>13</v>
          </cell>
          <cell r="C26">
            <v>-64463.467540314516</v>
          </cell>
          <cell r="D26">
            <v>-75756.468346516893</v>
          </cell>
          <cell r="E26">
            <v>-140219.9358868314</v>
          </cell>
          <cell r="F26">
            <v>-805793.34425393143</v>
          </cell>
          <cell r="G26">
            <v>0.46971970951738606</v>
          </cell>
        </row>
        <row r="27">
          <cell r="B27">
            <v>14</v>
          </cell>
          <cell r="C27">
            <v>-58402.950072593165</v>
          </cell>
          <cell r="D27">
            <v>-81816.985814238229</v>
          </cell>
          <cell r="E27">
            <v>-140219.9358868314</v>
          </cell>
          <cell r="F27">
            <v>-730036.87590741459</v>
          </cell>
          <cell r="G27">
            <v>0.52914949510192755</v>
          </cell>
        </row>
        <row r="28">
          <cell r="B28">
            <v>15</v>
          </cell>
          <cell r="C28">
            <v>-51857.591207454112</v>
          </cell>
          <cell r="D28">
            <v>-88362.344679377289</v>
          </cell>
          <cell r="E28">
            <v>-140219.9358868314</v>
          </cell>
          <cell r="F28">
            <v>-648219.89009317639</v>
          </cell>
          <cell r="G28">
            <v>0.59333366353323225</v>
          </cell>
        </row>
        <row r="29">
          <cell r="B29">
            <v>16</v>
          </cell>
          <cell r="C29">
            <v>-44788.603633103929</v>
          </cell>
          <cell r="D29">
            <v>-95431.33225372748</v>
          </cell>
          <cell r="E29">
            <v>-140219.9358868314</v>
          </cell>
          <cell r="F29">
            <v>-559857.54541379912</v>
          </cell>
          <cell r="G29">
            <v>0.6626525654390415</v>
          </cell>
        </row>
        <row r="30">
          <cell r="B30">
            <v>17</v>
          </cell>
          <cell r="C30">
            <v>-37154.097052805722</v>
          </cell>
          <cell r="D30">
            <v>-103065.83883402568</v>
          </cell>
          <cell r="E30">
            <v>-140219.9358868314</v>
          </cell>
          <cell r="F30">
            <v>-464426.21316007164</v>
          </cell>
          <cell r="G30">
            <v>0.73751697949731532</v>
          </cell>
        </row>
        <row r="31">
          <cell r="B31">
            <v>18</v>
          </cell>
          <cell r="C31">
            <v>-28908.829946083672</v>
          </cell>
          <cell r="D31">
            <v>-111311.10594074773</v>
          </cell>
          <cell r="E31">
            <v>-140219.9358868314</v>
          </cell>
          <cell r="F31">
            <v>-361360.37432604597</v>
          </cell>
          <cell r="G31">
            <v>0.81837054668025111</v>
          </cell>
        </row>
        <row r="32">
          <cell r="B32">
            <v>19</v>
          </cell>
          <cell r="C32">
            <v>-20003.941470823862</v>
          </cell>
          <cell r="D32">
            <v>-120215.99441600754</v>
          </cell>
          <cell r="E32">
            <v>-140219.9358868314</v>
          </cell>
          <cell r="F32">
            <v>-250049.26838529826</v>
          </cell>
          <cell r="G32">
            <v>0.90569239923782174</v>
          </cell>
        </row>
        <row r="33">
          <cell r="B33">
            <v>20</v>
          </cell>
          <cell r="C33">
            <v>-10386.661917543257</v>
          </cell>
          <cell r="D33">
            <v>-129833.27396928814</v>
          </cell>
          <cell r="E33">
            <v>-140219.9358868314</v>
          </cell>
          <cell r="F33">
            <v>-129833.27396929072</v>
          </cell>
          <cell r="G33">
            <v>0.99999999999999811</v>
          </cell>
        </row>
        <row r="34">
          <cell r="B34">
            <v>21</v>
          </cell>
          <cell r="C34">
            <v>0</v>
          </cell>
          <cell r="D34">
            <v>0</v>
          </cell>
          <cell r="E34">
            <v>0</v>
          </cell>
          <cell r="F34">
            <v>-2.5756889954209328E-9</v>
          </cell>
          <cell r="G34">
            <v>0</v>
          </cell>
        </row>
        <row r="35">
          <cell r="B35">
            <v>22</v>
          </cell>
          <cell r="C35">
            <v>0</v>
          </cell>
          <cell r="D35">
            <v>0</v>
          </cell>
          <cell r="E35">
            <v>0</v>
          </cell>
          <cell r="F35">
            <v>-2.5756889954209328E-9</v>
          </cell>
          <cell r="G35">
            <v>0</v>
          </cell>
        </row>
        <row r="36">
          <cell r="B36">
            <v>23</v>
          </cell>
          <cell r="C36">
            <v>0</v>
          </cell>
          <cell r="D36">
            <v>0</v>
          </cell>
          <cell r="E36">
            <v>0</v>
          </cell>
          <cell r="F36">
            <v>-2.5756889954209328E-9</v>
          </cell>
          <cell r="G36">
            <v>0</v>
          </cell>
        </row>
        <row r="37">
          <cell r="B37">
            <v>24</v>
          </cell>
          <cell r="C37">
            <v>0</v>
          </cell>
          <cell r="D37">
            <v>0</v>
          </cell>
          <cell r="E37">
            <v>0</v>
          </cell>
          <cell r="F37">
            <v>-2.5756889954209328E-9</v>
          </cell>
          <cell r="G37">
            <v>0</v>
          </cell>
        </row>
        <row r="38">
          <cell r="B38">
            <v>25</v>
          </cell>
          <cell r="C38">
            <v>0</v>
          </cell>
          <cell r="D38">
            <v>0</v>
          </cell>
          <cell r="E38">
            <v>0</v>
          </cell>
          <cell r="F38">
            <v>-2.5756889954209328E-9</v>
          </cell>
          <cell r="G38">
            <v>0</v>
          </cell>
        </row>
        <row r="39">
          <cell r="B39">
            <v>26</v>
          </cell>
          <cell r="C39">
            <v>0</v>
          </cell>
          <cell r="D39">
            <v>0</v>
          </cell>
          <cell r="E39">
            <v>0</v>
          </cell>
          <cell r="F39">
            <v>-2.5756889954209328E-9</v>
          </cell>
          <cell r="G39">
            <v>0</v>
          </cell>
        </row>
        <row r="40">
          <cell r="B40">
            <v>27</v>
          </cell>
          <cell r="C40">
            <v>0</v>
          </cell>
          <cell r="D40">
            <v>0</v>
          </cell>
          <cell r="E40">
            <v>0</v>
          </cell>
          <cell r="F40">
            <v>-2.5756889954209328E-9</v>
          </cell>
          <cell r="G40">
            <v>0</v>
          </cell>
        </row>
        <row r="41">
          <cell r="B41">
            <v>28</v>
          </cell>
          <cell r="C41">
            <v>0</v>
          </cell>
          <cell r="D41">
            <v>0</v>
          </cell>
          <cell r="E41">
            <v>0</v>
          </cell>
          <cell r="F41">
            <v>-2.5756889954209328E-9</v>
          </cell>
          <cell r="G41">
            <v>0</v>
          </cell>
        </row>
        <row r="42">
          <cell r="B42">
            <v>29</v>
          </cell>
          <cell r="C42">
            <v>0</v>
          </cell>
          <cell r="D42">
            <v>0</v>
          </cell>
          <cell r="E42">
            <v>0</v>
          </cell>
          <cell r="F42">
            <v>-2.5756889954209328E-9</v>
          </cell>
          <cell r="G42">
            <v>0</v>
          </cell>
        </row>
        <row r="43">
          <cell r="B43">
            <v>30</v>
          </cell>
          <cell r="C43">
            <v>0</v>
          </cell>
          <cell r="D43">
            <v>0</v>
          </cell>
          <cell r="E43">
            <v>0</v>
          </cell>
          <cell r="F43">
            <v>-2.5756889954209328E-9</v>
          </cell>
          <cell r="G43">
            <v>0</v>
          </cell>
        </row>
        <row r="44">
          <cell r="A44" t="str">
            <v xml:space="preserve"> </v>
          </cell>
          <cell r="B44" t="str">
            <v>Total</v>
          </cell>
          <cell r="C44">
            <v>-1427698.7177366307</v>
          </cell>
          <cell r="D44">
            <v>-1376699.9999999974</v>
          </cell>
          <cell r="E44">
            <v>-2804398.7177366288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9.bin"/><Relationship Id="rId5" Type="http://schemas.openxmlformats.org/officeDocument/2006/relationships/image" Target="../media/image2.emf"/><Relationship Id="rId4" Type="http://schemas.openxmlformats.org/officeDocument/2006/relationships/oleObject" Target="../embeddings/Microsoft_Word_97_-_2003_Document1.doc"/></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zoomScale="75" workbookViewId="0">
      <selection activeCell="Y29" sqref="Y29"/>
    </sheetView>
  </sheetViews>
  <sheetFormatPr defaultRowHeight="13.2" x14ac:dyDescent="0.25"/>
  <sheetData/>
  <sheetProtection password="8D83" sheet="1" objects="1" scenarios="1"/>
  <phoneticPr fontId="5" type="noConversion"/>
  <pageMargins left="0.75" right="0.75" top="1" bottom="1" header="0.5" footer="0.5"/>
  <pageSetup paperSize="9"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showRowColHeaders="0" zoomScale="75" workbookViewId="0">
      <selection activeCell="Y29" sqref="Y29"/>
    </sheetView>
  </sheetViews>
  <sheetFormatPr defaultRowHeight="13.2" x14ac:dyDescent="0.25"/>
  <cols>
    <col min="2" max="2" width="28.109375" customWidth="1"/>
    <col min="3" max="3" width="25" customWidth="1"/>
    <col min="4" max="11" width="16.44140625" customWidth="1"/>
  </cols>
  <sheetData>
    <row r="1" spans="1:11" ht="24.6" x14ac:dyDescent="0.4">
      <c r="A1" s="161" t="s">
        <v>116</v>
      </c>
      <c r="B1" s="2"/>
      <c r="C1" s="162"/>
      <c r="D1" s="163"/>
      <c r="E1" s="162"/>
      <c r="F1" s="162"/>
      <c r="G1" s="162"/>
      <c r="H1" s="162"/>
      <c r="I1" s="164"/>
      <c r="J1" s="164"/>
      <c r="K1" s="164"/>
    </row>
    <row r="2" spans="1:11" ht="15.6" x14ac:dyDescent="0.3">
      <c r="A2" s="2"/>
      <c r="B2" s="2"/>
      <c r="C2" s="162"/>
      <c r="D2" s="162"/>
      <c r="E2" s="162"/>
      <c r="F2" s="162"/>
      <c r="G2" s="162"/>
      <c r="H2" s="162"/>
      <c r="I2" s="164"/>
      <c r="J2" s="164"/>
      <c r="K2" s="164"/>
    </row>
    <row r="3" spans="1:11" ht="17.399999999999999" x14ac:dyDescent="0.3">
      <c r="A3" s="7" t="s">
        <v>22</v>
      </c>
      <c r="B3" s="2"/>
      <c r="C3" s="162"/>
      <c r="D3" s="162"/>
      <c r="E3" s="162"/>
      <c r="F3" s="162"/>
      <c r="G3" s="162"/>
      <c r="H3" s="162"/>
      <c r="I3" s="164"/>
      <c r="J3" s="164"/>
      <c r="K3" s="164"/>
    </row>
    <row r="4" spans="1:11" ht="17.399999999999999" x14ac:dyDescent="0.3">
      <c r="A4" s="7"/>
      <c r="B4" s="2"/>
      <c r="C4" s="162"/>
      <c r="D4" s="162"/>
      <c r="E4" s="162"/>
      <c r="F4" s="162"/>
      <c r="G4" s="162"/>
      <c r="H4" s="162"/>
      <c r="I4" s="164"/>
      <c r="J4" s="164"/>
      <c r="K4" s="164"/>
    </row>
    <row r="5" spans="1:11" ht="15.6" x14ac:dyDescent="0.3">
      <c r="A5" s="2"/>
      <c r="B5" s="2" t="s">
        <v>23</v>
      </c>
      <c r="C5" s="162"/>
      <c r="D5" s="165">
        <f>'Farm Parameters'!D6</f>
        <v>140</v>
      </c>
      <c r="E5" s="162"/>
      <c r="F5" s="162"/>
      <c r="G5" s="162"/>
      <c r="H5" s="162"/>
      <c r="I5" s="164"/>
      <c r="J5" s="164"/>
      <c r="K5" s="164"/>
    </row>
    <row r="6" spans="1:11" ht="6" customHeight="1" x14ac:dyDescent="0.3">
      <c r="A6" s="2"/>
      <c r="B6" s="2"/>
      <c r="C6" s="162"/>
      <c r="D6" s="166"/>
      <c r="E6" s="162"/>
      <c r="F6" s="162"/>
      <c r="G6" s="162"/>
      <c r="H6" s="162"/>
      <c r="I6" s="164"/>
      <c r="J6" s="164"/>
      <c r="K6" s="164"/>
    </row>
    <row r="7" spans="1:11" ht="15.6" x14ac:dyDescent="0.3">
      <c r="A7" s="2"/>
      <c r="B7" s="2" t="s">
        <v>24</v>
      </c>
      <c r="C7" s="162"/>
      <c r="D7" s="167">
        <f>'Price and Yields'!C26</f>
        <v>10</v>
      </c>
      <c r="E7" s="162"/>
      <c r="F7" s="162"/>
      <c r="G7" s="162"/>
      <c r="H7" s="162"/>
      <c r="I7" s="164"/>
      <c r="J7" s="164"/>
      <c r="K7" s="164"/>
    </row>
    <row r="8" spans="1:11" ht="6" customHeight="1" x14ac:dyDescent="0.3">
      <c r="A8" s="2"/>
      <c r="B8" s="2"/>
      <c r="C8" s="162"/>
      <c r="D8" s="162"/>
      <c r="E8" s="162"/>
      <c r="F8" s="162"/>
      <c r="G8" s="162"/>
      <c r="H8" s="162"/>
      <c r="I8" s="164"/>
      <c r="J8" s="164"/>
      <c r="K8" s="164"/>
    </row>
    <row r="9" spans="1:11" ht="15.6" x14ac:dyDescent="0.3">
      <c r="A9" s="2"/>
      <c r="B9" s="2" t="s">
        <v>25</v>
      </c>
      <c r="C9" s="162"/>
      <c r="D9" s="20">
        <f>'Price and Yields'!$C$16</f>
        <v>2.4860869565217394</v>
      </c>
      <c r="E9" s="162"/>
      <c r="F9" s="162"/>
      <c r="G9" s="162"/>
      <c r="H9" s="162"/>
      <c r="I9" s="164"/>
      <c r="J9" s="164"/>
      <c r="K9" s="164"/>
    </row>
    <row r="10" spans="1:11" ht="6" customHeight="1" x14ac:dyDescent="0.3">
      <c r="A10" s="2"/>
      <c r="B10" s="2"/>
      <c r="C10" s="162"/>
      <c r="D10" s="164"/>
      <c r="E10" s="162"/>
      <c r="F10" s="162"/>
      <c r="G10" s="162"/>
      <c r="H10" s="162"/>
      <c r="I10" s="164"/>
      <c r="J10" s="164"/>
      <c r="K10" s="164"/>
    </row>
    <row r="11" spans="1:11" ht="15.6" x14ac:dyDescent="0.3">
      <c r="A11" s="2"/>
      <c r="B11" s="2" t="s">
        <v>26</v>
      </c>
      <c r="C11" s="162"/>
      <c r="D11" s="5">
        <v>1000</v>
      </c>
      <c r="E11" s="162"/>
      <c r="F11" s="162"/>
      <c r="G11" s="162"/>
      <c r="H11" s="162"/>
      <c r="I11" s="164"/>
      <c r="J11" s="164"/>
      <c r="K11" s="164"/>
    </row>
    <row r="12" spans="1:11" ht="15.6" x14ac:dyDescent="0.3">
      <c r="A12" s="2"/>
      <c r="B12" s="2"/>
      <c r="C12" s="162"/>
      <c r="D12" s="168"/>
      <c r="E12" s="162"/>
      <c r="F12" s="162"/>
      <c r="G12" s="162"/>
      <c r="H12" s="162"/>
      <c r="I12" s="164"/>
      <c r="J12" s="164"/>
      <c r="K12" s="164"/>
    </row>
    <row r="13" spans="1:11" ht="17.399999999999999" x14ac:dyDescent="0.3">
      <c r="A13" s="7" t="s">
        <v>27</v>
      </c>
      <c r="B13" s="11"/>
      <c r="C13" s="162"/>
      <c r="D13" s="169"/>
      <c r="E13" s="169"/>
      <c r="F13" s="169"/>
      <c r="G13" s="162"/>
      <c r="H13" s="169" t="s">
        <v>28</v>
      </c>
      <c r="I13" s="170" t="s">
        <v>29</v>
      </c>
      <c r="J13" s="170" t="s">
        <v>30</v>
      </c>
      <c r="K13" s="170" t="s">
        <v>31</v>
      </c>
    </row>
    <row r="14" spans="1:11" ht="17.399999999999999" x14ac:dyDescent="0.3">
      <c r="A14" s="7"/>
      <c r="B14" s="11" t="s">
        <v>33</v>
      </c>
      <c r="C14" s="169"/>
      <c r="D14" s="162"/>
      <c r="E14" s="162"/>
      <c r="F14" s="162"/>
      <c r="G14" s="162"/>
      <c r="H14" s="171">
        <f>D7*D5</f>
        <v>1400</v>
      </c>
      <c r="I14" s="22">
        <f>IF(ISERROR(J14/D7),0,J14/D7)</f>
        <v>14.294999999999998</v>
      </c>
      <c r="J14" s="22">
        <f>K14/D5</f>
        <v>142.94999999999999</v>
      </c>
      <c r="K14" s="22">
        <f>H14*D9*'Price and Yields'!$E$8</f>
        <v>20013</v>
      </c>
    </row>
    <row r="15" spans="1:11" ht="15.6" x14ac:dyDescent="0.3">
      <c r="A15" s="2"/>
      <c r="B15" s="2"/>
      <c r="C15" s="162"/>
      <c r="D15" s="162"/>
      <c r="E15" s="162"/>
      <c r="F15" s="162"/>
      <c r="G15" s="162"/>
      <c r="H15" s="162"/>
      <c r="I15" s="164"/>
      <c r="J15" s="164"/>
      <c r="K15" s="164"/>
    </row>
    <row r="16" spans="1:11" ht="17.399999999999999" x14ac:dyDescent="0.3">
      <c r="A16" s="172" t="s">
        <v>34</v>
      </c>
      <c r="B16" s="2"/>
      <c r="C16" s="162"/>
      <c r="D16" s="162"/>
      <c r="E16" s="162"/>
      <c r="F16" s="162"/>
      <c r="G16" s="162"/>
      <c r="H16" s="162"/>
      <c r="I16" s="164"/>
      <c r="J16" s="164"/>
      <c r="K16" s="164"/>
    </row>
    <row r="17" spans="1:11" ht="6" customHeight="1" x14ac:dyDescent="0.3">
      <c r="A17" s="172"/>
      <c r="B17" s="2"/>
      <c r="C17" s="162"/>
      <c r="D17" s="162"/>
      <c r="E17" s="162"/>
      <c r="F17" s="162"/>
      <c r="G17" s="162"/>
      <c r="H17" s="162"/>
      <c r="I17" s="164"/>
      <c r="J17" s="164"/>
      <c r="K17" s="164"/>
    </row>
    <row r="18" spans="1:11" ht="15.6" x14ac:dyDescent="0.3">
      <c r="A18" s="11"/>
      <c r="B18" s="12" t="s">
        <v>35</v>
      </c>
      <c r="C18" s="14"/>
      <c r="D18" s="173" t="s">
        <v>36</v>
      </c>
      <c r="E18" s="173" t="s">
        <v>37</v>
      </c>
      <c r="F18" s="173" t="s">
        <v>38</v>
      </c>
      <c r="G18" s="173" t="s">
        <v>39</v>
      </c>
      <c r="H18" s="173" t="s">
        <v>40</v>
      </c>
      <c r="I18" s="174"/>
      <c r="J18" s="174" t="s">
        <v>30</v>
      </c>
      <c r="K18" s="175" t="s">
        <v>31</v>
      </c>
    </row>
    <row r="19" spans="1:11" ht="15.6" x14ac:dyDescent="0.3">
      <c r="A19" s="2"/>
      <c r="B19" s="176" t="s">
        <v>41</v>
      </c>
      <c r="C19" s="177"/>
      <c r="D19" s="178"/>
      <c r="E19" s="178"/>
      <c r="F19" s="178"/>
      <c r="G19" s="178"/>
      <c r="H19" s="178"/>
      <c r="I19" s="179"/>
      <c r="J19" s="179"/>
      <c r="K19" s="180"/>
    </row>
    <row r="20" spans="1:11" ht="15.6" x14ac:dyDescent="0.3">
      <c r="A20" s="2"/>
      <c r="B20" s="181" t="s">
        <v>42</v>
      </c>
      <c r="C20" s="182"/>
      <c r="D20" s="183">
        <v>5</v>
      </c>
      <c r="E20" s="184" t="s">
        <v>43</v>
      </c>
      <c r="F20" s="185" t="s">
        <v>44</v>
      </c>
      <c r="G20" s="183">
        <v>1</v>
      </c>
      <c r="H20" s="186">
        <f>'Year 1'!$H$20</f>
        <v>1.65</v>
      </c>
      <c r="I20" s="187"/>
      <c r="J20" s="188">
        <f>K20/$D$5</f>
        <v>5.8928571428571427E-2</v>
      </c>
      <c r="K20" s="189">
        <f>H20*G20*D20</f>
        <v>8.25</v>
      </c>
    </row>
    <row r="21" spans="1:11" ht="15.6" x14ac:dyDescent="0.3">
      <c r="A21" s="2"/>
      <c r="B21" s="190" t="s">
        <v>45</v>
      </c>
      <c r="C21" s="191"/>
      <c r="D21" s="192">
        <v>18</v>
      </c>
      <c r="E21" s="193" t="s">
        <v>43</v>
      </c>
      <c r="F21" s="194" t="s">
        <v>44</v>
      </c>
      <c r="G21" s="192">
        <v>0.4</v>
      </c>
      <c r="H21" s="195">
        <f>'Year 1'!$H$21</f>
        <v>3</v>
      </c>
      <c r="I21" s="196"/>
      <c r="J21" s="197">
        <f>K21/$D$5</f>
        <v>0.1542857142857143</v>
      </c>
      <c r="K21" s="198">
        <f>H21*G21*D21</f>
        <v>21.6</v>
      </c>
    </row>
    <row r="22" spans="1:11" ht="15.6" x14ac:dyDescent="0.3">
      <c r="A22" s="2"/>
      <c r="B22" s="199" t="s">
        <v>46</v>
      </c>
      <c r="C22" s="200"/>
      <c r="D22" s="201">
        <v>5</v>
      </c>
      <c r="E22" s="202" t="s">
        <v>43</v>
      </c>
      <c r="F22" s="203" t="s">
        <v>44</v>
      </c>
      <c r="G22" s="201">
        <v>0.4</v>
      </c>
      <c r="H22" s="204">
        <f>'Year 1'!$H$22</f>
        <v>1.65</v>
      </c>
      <c r="I22" s="205"/>
      <c r="J22" s="206">
        <f>K22/$D$5</f>
        <v>2.3571428571428573E-2</v>
      </c>
      <c r="K22" s="207">
        <f>H22*G22*D22</f>
        <v>3.3000000000000003</v>
      </c>
    </row>
    <row r="23" spans="1:11" ht="15.6" x14ac:dyDescent="0.3">
      <c r="A23" s="2"/>
      <c r="B23" s="21" t="s">
        <v>47</v>
      </c>
      <c r="C23" s="208"/>
      <c r="D23" s="209"/>
      <c r="E23" s="209"/>
      <c r="F23" s="209"/>
      <c r="G23" s="209"/>
      <c r="H23" s="210"/>
      <c r="I23" s="23"/>
      <c r="J23" s="23"/>
      <c r="K23" s="211">
        <f>SUM(K20:K22)</f>
        <v>33.15</v>
      </c>
    </row>
    <row r="24" spans="1:11" ht="15.6" x14ac:dyDescent="0.3">
      <c r="A24" s="2"/>
      <c r="B24" s="176" t="s">
        <v>48</v>
      </c>
      <c r="C24" s="177"/>
      <c r="D24" s="178"/>
      <c r="E24" s="178"/>
      <c r="F24" s="178"/>
      <c r="G24" s="178"/>
      <c r="H24" s="212"/>
      <c r="I24" s="179"/>
      <c r="J24" s="179"/>
      <c r="K24" s="180"/>
    </row>
    <row r="25" spans="1:11" ht="15.6" x14ac:dyDescent="0.3">
      <c r="A25" s="2"/>
      <c r="B25" s="181" t="s">
        <v>49</v>
      </c>
      <c r="C25" s="182"/>
      <c r="D25" s="183">
        <v>2</v>
      </c>
      <c r="E25" s="184" t="s">
        <v>43</v>
      </c>
      <c r="F25" s="183">
        <v>0.06</v>
      </c>
      <c r="G25" s="213">
        <f>F25*$D$5</f>
        <v>8.4</v>
      </c>
      <c r="H25" s="186">
        <f>'Farm Parameters'!$D$10</f>
        <v>11</v>
      </c>
      <c r="I25" s="187"/>
      <c r="J25" s="188">
        <f>K25/$D$5</f>
        <v>1.32</v>
      </c>
      <c r="K25" s="189">
        <f>H25*G25*D25</f>
        <v>184.8</v>
      </c>
    </row>
    <row r="26" spans="1:11" ht="15.6" x14ac:dyDescent="0.3">
      <c r="A26" s="2"/>
      <c r="B26" s="190" t="s">
        <v>50</v>
      </c>
      <c r="C26" s="191"/>
      <c r="D26" s="192">
        <v>0</v>
      </c>
      <c r="E26" s="193" t="s">
        <v>43</v>
      </c>
      <c r="F26" s="192">
        <v>0.5</v>
      </c>
      <c r="G26" s="214">
        <f>F26*$D$5</f>
        <v>70</v>
      </c>
      <c r="H26" s="195">
        <f>H25</f>
        <v>11</v>
      </c>
      <c r="I26" s="196"/>
      <c r="J26" s="197">
        <f>K26/$D$5</f>
        <v>0</v>
      </c>
      <c r="K26" s="198">
        <f>H26*G26*D26</f>
        <v>0</v>
      </c>
    </row>
    <row r="27" spans="1:11" ht="15.6" x14ac:dyDescent="0.3">
      <c r="A27" s="2"/>
      <c r="B27" s="199" t="s">
        <v>51</v>
      </c>
      <c r="C27" s="200"/>
      <c r="D27" s="201">
        <v>1</v>
      </c>
      <c r="E27" s="202" t="s">
        <v>43</v>
      </c>
      <c r="F27" s="201">
        <v>0.25</v>
      </c>
      <c r="G27" s="215">
        <f>F27*$D$5</f>
        <v>35</v>
      </c>
      <c r="H27" s="204">
        <f>H25</f>
        <v>11</v>
      </c>
      <c r="I27" s="205"/>
      <c r="J27" s="206">
        <f>K27/$D$5</f>
        <v>2.75</v>
      </c>
      <c r="K27" s="207">
        <f>H27*G27*D27</f>
        <v>385</v>
      </c>
    </row>
    <row r="28" spans="1:11" ht="15.6" x14ac:dyDescent="0.3">
      <c r="A28" s="2"/>
      <c r="B28" s="21" t="s">
        <v>47</v>
      </c>
      <c r="C28" s="208"/>
      <c r="D28" s="209"/>
      <c r="E28" s="209"/>
      <c r="F28" s="209"/>
      <c r="G28" s="209"/>
      <c r="H28" s="210"/>
      <c r="I28" s="23"/>
      <c r="J28" s="23"/>
      <c r="K28" s="211">
        <f>SUM(K25:K27)</f>
        <v>569.79999999999995</v>
      </c>
    </row>
    <row r="29" spans="1:11" ht="15.6" x14ac:dyDescent="0.3">
      <c r="A29" s="2"/>
      <c r="B29" s="176" t="s">
        <v>46</v>
      </c>
      <c r="C29" s="177"/>
      <c r="D29" s="178"/>
      <c r="E29" s="178"/>
      <c r="F29" s="178"/>
      <c r="G29" s="178"/>
      <c r="H29" s="216"/>
      <c r="I29" s="179"/>
      <c r="J29" s="179"/>
      <c r="K29" s="180"/>
    </row>
    <row r="30" spans="1:11" ht="15.6" x14ac:dyDescent="0.3">
      <c r="A30" s="2"/>
      <c r="B30" s="181" t="s">
        <v>52</v>
      </c>
      <c r="C30" s="182"/>
      <c r="D30" s="183">
        <v>0</v>
      </c>
      <c r="E30" s="184" t="s">
        <v>53</v>
      </c>
      <c r="F30" s="183">
        <v>0.2</v>
      </c>
      <c r="G30" s="185">
        <f>F30*$D$5</f>
        <v>28</v>
      </c>
      <c r="H30" s="186">
        <f>'Year 1'!$H$30</f>
        <v>0.47</v>
      </c>
      <c r="I30" s="187"/>
      <c r="J30" s="189">
        <f t="shared" ref="J30:J37" si="0">K30/$D$5</f>
        <v>0</v>
      </c>
      <c r="K30" s="189">
        <f t="shared" ref="K30:K37" si="1">H30*G30*D30</f>
        <v>0</v>
      </c>
    </row>
    <row r="31" spans="1:11" ht="15.6" x14ac:dyDescent="0.3">
      <c r="A31" s="2"/>
      <c r="B31" s="190" t="s">
        <v>54</v>
      </c>
      <c r="C31" s="191"/>
      <c r="D31" s="192">
        <v>3</v>
      </c>
      <c r="E31" s="193" t="s">
        <v>53</v>
      </c>
      <c r="F31" s="192">
        <v>1.6</v>
      </c>
      <c r="G31" s="194">
        <f t="shared" ref="G31:G37" si="2">F31*$D$5</f>
        <v>224</v>
      </c>
      <c r="H31" s="195">
        <f>'Year 1'!$H$31</f>
        <v>0.53</v>
      </c>
      <c r="I31" s="196"/>
      <c r="J31" s="198">
        <f t="shared" si="0"/>
        <v>2.5439999999999996</v>
      </c>
      <c r="K31" s="198">
        <f t="shared" si="1"/>
        <v>356.15999999999997</v>
      </c>
    </row>
    <row r="32" spans="1:11" ht="15.6" x14ac:dyDescent="0.3">
      <c r="A32" s="2"/>
      <c r="B32" s="190" t="s">
        <v>55</v>
      </c>
      <c r="C32" s="191"/>
      <c r="D32" s="192">
        <v>0</v>
      </c>
      <c r="E32" s="193" t="s">
        <v>56</v>
      </c>
      <c r="F32" s="192">
        <v>0.35</v>
      </c>
      <c r="G32" s="194">
        <f t="shared" si="2"/>
        <v>49</v>
      </c>
      <c r="H32" s="195">
        <f>'Year 1'!$H$32</f>
        <v>3.0000000000000001E-3</v>
      </c>
      <c r="I32" s="196"/>
      <c r="J32" s="198">
        <f t="shared" si="0"/>
        <v>0</v>
      </c>
      <c r="K32" s="198">
        <f t="shared" si="1"/>
        <v>0</v>
      </c>
    </row>
    <row r="33" spans="1:11" ht="15.6" x14ac:dyDescent="0.3">
      <c r="A33" s="2"/>
      <c r="B33" s="190" t="s">
        <v>57</v>
      </c>
      <c r="C33" s="191"/>
      <c r="D33" s="192">
        <v>0</v>
      </c>
      <c r="E33" s="193" t="s">
        <v>58</v>
      </c>
      <c r="F33" s="192">
        <v>0.8</v>
      </c>
      <c r="G33" s="194">
        <f t="shared" si="2"/>
        <v>112</v>
      </c>
      <c r="H33" s="195">
        <f>'Year 1'!$H$33</f>
        <v>1.5</v>
      </c>
      <c r="I33" s="196"/>
      <c r="J33" s="198">
        <f t="shared" si="0"/>
        <v>0</v>
      </c>
      <c r="K33" s="198">
        <f t="shared" si="1"/>
        <v>0</v>
      </c>
    </row>
    <row r="34" spans="1:11" ht="15.6" x14ac:dyDescent="0.3">
      <c r="A34" s="2"/>
      <c r="B34" s="190" t="s">
        <v>59</v>
      </c>
      <c r="C34" s="191"/>
      <c r="D34" s="192">
        <v>1</v>
      </c>
      <c r="E34" s="193" t="s">
        <v>53</v>
      </c>
      <c r="F34" s="192">
        <v>0.2</v>
      </c>
      <c r="G34" s="194">
        <f t="shared" si="2"/>
        <v>28</v>
      </c>
      <c r="H34" s="195">
        <f>'Year 1'!$H$34</f>
        <v>0.88</v>
      </c>
      <c r="I34" s="196"/>
      <c r="J34" s="198">
        <f t="shared" si="0"/>
        <v>0.17600000000000002</v>
      </c>
      <c r="K34" s="198">
        <f t="shared" si="1"/>
        <v>24.64</v>
      </c>
    </row>
    <row r="35" spans="1:11" ht="15.6" x14ac:dyDescent="0.3">
      <c r="A35" s="2"/>
      <c r="B35" s="190" t="s">
        <v>60</v>
      </c>
      <c r="C35" s="191"/>
      <c r="D35" s="192">
        <v>1</v>
      </c>
      <c r="E35" s="193" t="s">
        <v>53</v>
      </c>
      <c r="F35" s="192">
        <v>0.5</v>
      </c>
      <c r="G35" s="194">
        <f t="shared" si="2"/>
        <v>70</v>
      </c>
      <c r="H35" s="195">
        <f>'Year 1'!$H$35</f>
        <v>1</v>
      </c>
      <c r="I35" s="196"/>
      <c r="J35" s="198">
        <f t="shared" si="0"/>
        <v>0.5</v>
      </c>
      <c r="K35" s="198">
        <f t="shared" si="1"/>
        <v>70</v>
      </c>
    </row>
    <row r="36" spans="1:11" ht="15.6" x14ac:dyDescent="0.3">
      <c r="A36" s="2"/>
      <c r="B36" s="190" t="s">
        <v>61</v>
      </c>
      <c r="C36" s="191"/>
      <c r="D36" s="192">
        <v>3</v>
      </c>
      <c r="E36" s="193" t="s">
        <v>53</v>
      </c>
      <c r="F36" s="192">
        <v>0.15</v>
      </c>
      <c r="G36" s="194">
        <f t="shared" si="2"/>
        <v>21</v>
      </c>
      <c r="H36" s="195">
        <f>'Year 1'!$H$36</f>
        <v>2.7792000000000003</v>
      </c>
      <c r="I36" s="196"/>
      <c r="J36" s="198">
        <f t="shared" si="0"/>
        <v>1.2506400000000002</v>
      </c>
      <c r="K36" s="198">
        <f t="shared" si="1"/>
        <v>175.08960000000002</v>
      </c>
    </row>
    <row r="37" spans="1:11" ht="15.6" x14ac:dyDescent="0.3">
      <c r="A37" s="2"/>
      <c r="B37" s="199" t="s">
        <v>62</v>
      </c>
      <c r="C37" s="200"/>
      <c r="D37" s="201">
        <v>1</v>
      </c>
      <c r="E37" s="193" t="s">
        <v>53</v>
      </c>
      <c r="F37" s="201">
        <v>2</v>
      </c>
      <c r="G37" s="203">
        <f t="shared" si="2"/>
        <v>280</v>
      </c>
      <c r="H37" s="204">
        <f>'Year 1'!$H$37</f>
        <v>0.14000000000000001</v>
      </c>
      <c r="I37" s="205"/>
      <c r="J37" s="207">
        <f t="shared" si="0"/>
        <v>0.28000000000000003</v>
      </c>
      <c r="K37" s="207">
        <f t="shared" si="1"/>
        <v>39.200000000000003</v>
      </c>
    </row>
    <row r="38" spans="1:11" ht="15.6" x14ac:dyDescent="0.3">
      <c r="A38" s="2"/>
      <c r="B38" s="21" t="s">
        <v>47</v>
      </c>
      <c r="C38" s="208"/>
      <c r="D38" s="209"/>
      <c r="E38" s="209"/>
      <c r="F38" s="209"/>
      <c r="G38" s="209"/>
      <c r="H38" s="217"/>
      <c r="I38" s="23"/>
      <c r="J38" s="23"/>
      <c r="K38" s="211">
        <f>SUM(K30:K37)</f>
        <v>665.08960000000002</v>
      </c>
    </row>
    <row r="39" spans="1:11" ht="15.6" x14ac:dyDescent="0.3">
      <c r="A39" s="2"/>
      <c r="B39" s="176" t="s">
        <v>63</v>
      </c>
      <c r="C39" s="177"/>
      <c r="D39" s="178"/>
      <c r="E39" s="178"/>
      <c r="F39" s="178"/>
      <c r="G39" s="178"/>
      <c r="H39" s="216"/>
      <c r="I39" s="179"/>
      <c r="J39" s="179"/>
      <c r="K39" s="180"/>
    </row>
    <row r="40" spans="1:11" ht="15.6" x14ac:dyDescent="0.3">
      <c r="A40" s="2"/>
      <c r="B40" s="181" t="s">
        <v>64</v>
      </c>
      <c r="C40" s="182"/>
      <c r="D40" s="183">
        <v>5</v>
      </c>
      <c r="E40" s="184" t="s">
        <v>56</v>
      </c>
      <c r="F40" s="218">
        <v>8.0000000000000002E-3</v>
      </c>
      <c r="G40" s="213">
        <f>F40*$D$5</f>
        <v>1.1200000000000001</v>
      </c>
      <c r="H40" s="186">
        <f>'Year 1'!$H$40</f>
        <v>9.75</v>
      </c>
      <c r="I40" s="187"/>
      <c r="J40" s="188">
        <f>K40/$D$5</f>
        <v>0.39000000000000007</v>
      </c>
      <c r="K40" s="189">
        <f>H40*G40*D40</f>
        <v>54.600000000000009</v>
      </c>
    </row>
    <row r="41" spans="1:11" ht="15.6" x14ac:dyDescent="0.3">
      <c r="A41" s="2"/>
      <c r="B41" s="219" t="s">
        <v>65</v>
      </c>
      <c r="C41" s="191"/>
      <c r="D41" s="192">
        <v>0</v>
      </c>
      <c r="E41" s="193" t="s">
        <v>56</v>
      </c>
      <c r="F41" s="220">
        <v>0.03</v>
      </c>
      <c r="G41" s="214">
        <f>F41*$D$5</f>
        <v>4.2</v>
      </c>
      <c r="H41" s="195">
        <f>'Year 1'!$H$41</f>
        <v>0</v>
      </c>
      <c r="I41" s="196"/>
      <c r="J41" s="197">
        <f>K41/$D$5</f>
        <v>0</v>
      </c>
      <c r="K41" s="198">
        <f>H41*G41*D41</f>
        <v>0</v>
      </c>
    </row>
    <row r="42" spans="1:11" ht="15.6" x14ac:dyDescent="0.3">
      <c r="A42" s="2"/>
      <c r="B42" s="221" t="s">
        <v>65</v>
      </c>
      <c r="C42" s="200"/>
      <c r="D42" s="201">
        <v>0</v>
      </c>
      <c r="E42" s="202" t="s">
        <v>56</v>
      </c>
      <c r="F42" s="222">
        <v>0.03</v>
      </c>
      <c r="G42" s="215">
        <f>F42*$D$5</f>
        <v>4.2</v>
      </c>
      <c r="H42" s="204">
        <f>'Year 1'!$H$42</f>
        <v>0</v>
      </c>
      <c r="I42" s="205"/>
      <c r="J42" s="206">
        <f>K42/$D$5</f>
        <v>0</v>
      </c>
      <c r="K42" s="207">
        <f>H42*G42*D42</f>
        <v>0</v>
      </c>
    </row>
    <row r="43" spans="1:11" ht="15.6" x14ac:dyDescent="0.3">
      <c r="A43" s="2"/>
      <c r="B43" s="21" t="s">
        <v>47</v>
      </c>
      <c r="C43" s="208"/>
      <c r="D43" s="209"/>
      <c r="E43" s="209"/>
      <c r="F43" s="209"/>
      <c r="G43" s="209"/>
      <c r="H43" s="217"/>
      <c r="I43" s="23"/>
      <c r="J43" s="23"/>
      <c r="K43" s="211">
        <f>SUM(K40:K42)</f>
        <v>54.600000000000009</v>
      </c>
    </row>
    <row r="44" spans="1:11" ht="15.6" x14ac:dyDescent="0.3">
      <c r="A44" s="11"/>
      <c r="B44" s="176" t="s">
        <v>66</v>
      </c>
      <c r="C44" s="177"/>
      <c r="D44" s="178"/>
      <c r="E44" s="178"/>
      <c r="F44" s="178"/>
      <c r="G44" s="178"/>
      <c r="H44" s="212"/>
      <c r="I44" s="179"/>
      <c r="J44" s="179"/>
      <c r="K44" s="180"/>
    </row>
    <row r="45" spans="1:11" ht="15.6" x14ac:dyDescent="0.3">
      <c r="A45" s="2"/>
      <c r="B45" s="190" t="s">
        <v>68</v>
      </c>
      <c r="C45" s="223"/>
      <c r="D45" s="183">
        <v>7</v>
      </c>
      <c r="E45" s="193" t="s">
        <v>56</v>
      </c>
      <c r="F45" s="224">
        <f>IF(D45=0,0,$D$11/100*'Year 1'!$C45/$D$5)</f>
        <v>1.0714285714285714E-2</v>
      </c>
      <c r="G45" s="194">
        <f>F45*$D$5</f>
        <v>1.5</v>
      </c>
      <c r="H45" s="195">
        <f>'Year 1'!$H$45</f>
        <v>7.65</v>
      </c>
      <c r="I45" s="196"/>
      <c r="J45" s="198">
        <f>K45/$D$5</f>
        <v>0.57375000000000009</v>
      </c>
      <c r="K45" s="198">
        <f>H45*G45*D45</f>
        <v>80.325000000000017</v>
      </c>
    </row>
    <row r="46" spans="1:11" ht="15.6" x14ac:dyDescent="0.3">
      <c r="A46" s="2"/>
      <c r="B46" s="190" t="s">
        <v>69</v>
      </c>
      <c r="C46" s="223"/>
      <c r="D46" s="192">
        <v>4</v>
      </c>
      <c r="E46" s="193" t="s">
        <v>56</v>
      </c>
      <c r="F46" s="224">
        <f>IF(D46=0,0,$D$11/100*'Year 1'!$C46/$D$5)</f>
        <v>7.1428571428571426E-3</v>
      </c>
      <c r="G46" s="194">
        <f>F46*$D$5</f>
        <v>1</v>
      </c>
      <c r="H46" s="195">
        <f>'Year 1'!$H$46</f>
        <v>17.82</v>
      </c>
      <c r="I46" s="196"/>
      <c r="J46" s="198">
        <f>K46/$D$5</f>
        <v>0.50914285714285712</v>
      </c>
      <c r="K46" s="198">
        <f>H46*G46*D46</f>
        <v>71.28</v>
      </c>
    </row>
    <row r="47" spans="1:11" ht="15.6" x14ac:dyDescent="0.3">
      <c r="A47" s="2"/>
      <c r="B47" s="190" t="s">
        <v>70</v>
      </c>
      <c r="C47" s="223"/>
      <c r="D47" s="192">
        <v>2</v>
      </c>
      <c r="E47" s="193" t="s">
        <v>56</v>
      </c>
      <c r="F47" s="224">
        <f>IF(D47=0,0,$D$11/100*'Year 1'!$C47/$D$5)</f>
        <v>2.7142857142857142E-3</v>
      </c>
      <c r="G47" s="194">
        <f>F47*$D$5</f>
        <v>0.38</v>
      </c>
      <c r="H47" s="195">
        <f>'Year 1'!$H$47</f>
        <v>82.72</v>
      </c>
      <c r="I47" s="196"/>
      <c r="J47" s="198">
        <f>K47/$D$5</f>
        <v>0.44905142857142855</v>
      </c>
      <c r="K47" s="198">
        <f>H47*G47*D47</f>
        <v>62.867199999999997</v>
      </c>
    </row>
    <row r="48" spans="1:11" ht="15.6" x14ac:dyDescent="0.3">
      <c r="A48" s="2"/>
      <c r="B48" s="190" t="s">
        <v>71</v>
      </c>
      <c r="C48" s="223"/>
      <c r="D48" s="201">
        <v>3</v>
      </c>
      <c r="E48" s="193" t="s">
        <v>56</v>
      </c>
      <c r="F48" s="224">
        <f>IF(D48=0,0,$D$11/100*'Year 1'!$C48/$D$5)</f>
        <v>5.3571428571428572E-3</v>
      </c>
      <c r="G48" s="194">
        <f>F48*$D$5</f>
        <v>0.75</v>
      </c>
      <c r="H48" s="195">
        <f>'Year 1'!$H$48</f>
        <v>8.1999999999999993</v>
      </c>
      <c r="I48" s="196"/>
      <c r="J48" s="198">
        <f>K48/$D$5</f>
        <v>0.13178571428571428</v>
      </c>
      <c r="K48" s="198">
        <f>H48*G48*D48</f>
        <v>18.45</v>
      </c>
    </row>
    <row r="49" spans="1:11" ht="15.6" x14ac:dyDescent="0.3">
      <c r="A49" s="2"/>
      <c r="B49" s="21" t="s">
        <v>47</v>
      </c>
      <c r="C49" s="208"/>
      <c r="D49" s="209"/>
      <c r="E49" s="209"/>
      <c r="F49" s="209"/>
      <c r="G49" s="209"/>
      <c r="H49" s="210"/>
      <c r="I49" s="23"/>
      <c r="J49" s="23"/>
      <c r="K49" s="211">
        <f>SUM(K45:K48)</f>
        <v>232.9222</v>
      </c>
    </row>
    <row r="50" spans="1:11" ht="15.6" x14ac:dyDescent="0.3">
      <c r="A50" s="2"/>
      <c r="B50" s="176" t="s">
        <v>72</v>
      </c>
      <c r="C50" s="177"/>
      <c r="D50" s="178"/>
      <c r="E50" s="178"/>
      <c r="F50" s="178"/>
      <c r="G50" s="178"/>
      <c r="H50" s="216"/>
      <c r="I50" s="179"/>
      <c r="J50" s="179"/>
      <c r="K50" s="180"/>
    </row>
    <row r="51" spans="1:11" ht="15.6" x14ac:dyDescent="0.3">
      <c r="A51" s="2"/>
      <c r="B51" s="181" t="s">
        <v>73</v>
      </c>
      <c r="C51" s="225"/>
      <c r="D51" s="226">
        <v>11</v>
      </c>
      <c r="E51" s="193" t="s">
        <v>53</v>
      </c>
      <c r="F51" s="224">
        <f>IF(D51=0,0,$D$11/100*'Year 1'!$C51/$D$5)</f>
        <v>1.4285714285714285E-2</v>
      </c>
      <c r="G51" s="213">
        <f>F51*$D$5</f>
        <v>2</v>
      </c>
      <c r="H51" s="186">
        <f>'Year 1'!$H$51</f>
        <v>6.33</v>
      </c>
      <c r="I51" s="187"/>
      <c r="J51" s="188">
        <f>K51/$D$5</f>
        <v>0.99471428571428566</v>
      </c>
      <c r="K51" s="189">
        <f>H51*G51*D51</f>
        <v>139.26</v>
      </c>
    </row>
    <row r="52" spans="1:11" ht="15.6" x14ac:dyDescent="0.3">
      <c r="A52" s="2"/>
      <c r="B52" s="219" t="s">
        <v>74</v>
      </c>
      <c r="C52" s="227"/>
      <c r="D52" s="228">
        <v>2</v>
      </c>
      <c r="E52" s="193" t="s">
        <v>56</v>
      </c>
      <c r="F52" s="308">
        <v>0.12</v>
      </c>
      <c r="G52" s="214">
        <f>F52*$D$5</f>
        <v>16.8</v>
      </c>
      <c r="H52" s="195">
        <f>'Year 1'!$H$52</f>
        <v>2.2000000000000002</v>
      </c>
      <c r="I52" s="196"/>
      <c r="J52" s="197">
        <f>K52/$D$5</f>
        <v>0.52800000000000014</v>
      </c>
      <c r="K52" s="198">
        <f>H52*G52*D52</f>
        <v>73.920000000000016</v>
      </c>
    </row>
    <row r="53" spans="1:11" ht="15.6" x14ac:dyDescent="0.3">
      <c r="A53" s="2"/>
      <c r="B53" s="221" t="s">
        <v>65</v>
      </c>
      <c r="C53" s="229"/>
      <c r="D53" s="230">
        <v>0</v>
      </c>
      <c r="E53" s="193" t="s">
        <v>53</v>
      </c>
      <c r="F53" s="224">
        <f>IF(D53=0,0,$D$11/100*'Year 1'!$C53/$D$5)</f>
        <v>0</v>
      </c>
      <c r="G53" s="215">
        <f>F53*$D$5</f>
        <v>0</v>
      </c>
      <c r="H53" s="204">
        <f>'Year 1'!$H$53</f>
        <v>0</v>
      </c>
      <c r="I53" s="205"/>
      <c r="J53" s="206">
        <f>K53/$D$5</f>
        <v>0</v>
      </c>
      <c r="K53" s="207">
        <f>H53*G53*D53</f>
        <v>0</v>
      </c>
    </row>
    <row r="54" spans="1:11" ht="15.6" x14ac:dyDescent="0.3">
      <c r="A54" s="2"/>
      <c r="B54" s="21" t="s">
        <v>47</v>
      </c>
      <c r="C54" s="208"/>
      <c r="D54" s="209"/>
      <c r="E54" s="209"/>
      <c r="F54" s="209"/>
      <c r="G54" s="209"/>
      <c r="H54" s="217"/>
      <c r="I54" s="23"/>
      <c r="J54" s="23"/>
      <c r="K54" s="211">
        <f>SUM(K51:K53)</f>
        <v>213.18</v>
      </c>
    </row>
    <row r="55" spans="1:11" ht="15.6" x14ac:dyDescent="0.3">
      <c r="A55" s="2"/>
      <c r="B55" s="176" t="s">
        <v>65</v>
      </c>
      <c r="C55" s="177"/>
      <c r="D55" s="178"/>
      <c r="E55" s="178"/>
      <c r="F55" s="178"/>
      <c r="G55" s="178"/>
      <c r="H55" s="216"/>
      <c r="I55" s="179"/>
      <c r="J55" s="179"/>
      <c r="K55" s="180"/>
    </row>
    <row r="56" spans="1:11" ht="15.6" x14ac:dyDescent="0.3">
      <c r="A56" s="2"/>
      <c r="B56" s="181" t="s">
        <v>75</v>
      </c>
      <c r="C56" s="182"/>
      <c r="D56" s="185" t="s">
        <v>44</v>
      </c>
      <c r="E56" s="184" t="s">
        <v>76</v>
      </c>
      <c r="F56" s="185" t="s">
        <v>44</v>
      </c>
      <c r="G56" s="309">
        <v>7</v>
      </c>
      <c r="H56" s="186">
        <f>'Year 1'!$H$56</f>
        <v>30</v>
      </c>
      <c r="I56" s="187"/>
      <c r="J56" s="188">
        <f>K56/$D$5</f>
        <v>1.5</v>
      </c>
      <c r="K56" s="189">
        <f>H56*G56</f>
        <v>210</v>
      </c>
    </row>
    <row r="57" spans="1:11" ht="15.6" x14ac:dyDescent="0.3">
      <c r="A57" s="2"/>
      <c r="B57" s="221" t="s">
        <v>77</v>
      </c>
      <c r="C57" s="200"/>
      <c r="D57" s="203" t="s">
        <v>44</v>
      </c>
      <c r="E57" s="202" t="s">
        <v>43</v>
      </c>
      <c r="F57" s="203" t="s">
        <v>44</v>
      </c>
      <c r="G57" s="310">
        <v>0</v>
      </c>
      <c r="H57" s="204">
        <f>'Year 1'!$H$57</f>
        <v>11</v>
      </c>
      <c r="I57" s="205"/>
      <c r="J57" s="206">
        <f>K57/$D$5</f>
        <v>0</v>
      </c>
      <c r="K57" s="207">
        <f>H57*G57</f>
        <v>0</v>
      </c>
    </row>
    <row r="58" spans="1:11" ht="15.6" x14ac:dyDescent="0.3">
      <c r="A58" s="2"/>
      <c r="B58" s="231" t="s">
        <v>78</v>
      </c>
      <c r="C58" s="232"/>
      <c r="D58" s="233"/>
      <c r="E58" s="233"/>
      <c r="F58" s="233"/>
      <c r="G58" s="233"/>
      <c r="H58" s="233"/>
      <c r="I58" s="235"/>
      <c r="J58" s="235">
        <f>SUM(J20:J57)</f>
        <v>14.13387</v>
      </c>
      <c r="K58" s="236">
        <f>K57+K56+K54+K49+K43+K38+K28+K23</f>
        <v>1978.7418</v>
      </c>
    </row>
    <row r="59" spans="1:11" ht="15.6" x14ac:dyDescent="0.3">
      <c r="A59" s="2"/>
      <c r="B59" s="2"/>
      <c r="C59" s="2"/>
      <c r="D59" s="2"/>
      <c r="E59" s="2"/>
      <c r="F59" s="2"/>
      <c r="G59" s="2"/>
      <c r="H59" s="2"/>
      <c r="I59" s="2"/>
      <c r="J59" s="2"/>
      <c r="K59" s="2"/>
    </row>
    <row r="60" spans="1:11" ht="15.6" x14ac:dyDescent="0.3">
      <c r="A60" s="2"/>
      <c r="B60" s="231" t="s">
        <v>79</v>
      </c>
      <c r="C60" s="232"/>
      <c r="D60" s="233"/>
      <c r="E60" s="233"/>
      <c r="F60" s="233"/>
      <c r="G60" s="233"/>
      <c r="H60" s="233"/>
      <c r="I60" s="235"/>
      <c r="J60" s="235"/>
      <c r="K60" s="237"/>
    </row>
    <row r="61" spans="1:11" ht="15.6" x14ac:dyDescent="0.3">
      <c r="A61" s="2"/>
      <c r="B61" s="181" t="s">
        <v>80</v>
      </c>
      <c r="C61" s="182"/>
      <c r="D61" s="183">
        <v>144</v>
      </c>
      <c r="E61" s="238"/>
      <c r="F61" s="238"/>
      <c r="G61" s="238"/>
      <c r="H61" s="238"/>
      <c r="I61" s="187"/>
      <c r="J61" s="187"/>
      <c r="K61" s="239"/>
    </row>
    <row r="62" spans="1:11" ht="15.6" x14ac:dyDescent="0.3">
      <c r="A62" s="2"/>
      <c r="B62" s="190" t="s">
        <v>81</v>
      </c>
      <c r="C62" s="191"/>
      <c r="D62" s="201">
        <v>99</v>
      </c>
      <c r="E62" s="240"/>
      <c r="F62" s="240"/>
      <c r="G62" s="240"/>
      <c r="H62" s="240"/>
      <c r="I62" s="196"/>
      <c r="J62" s="196"/>
      <c r="K62" s="241"/>
    </row>
    <row r="63" spans="1:11" ht="15.6" x14ac:dyDescent="0.3">
      <c r="A63" s="2"/>
      <c r="B63" s="190" t="s">
        <v>82</v>
      </c>
      <c r="C63" s="191"/>
      <c r="D63" s="194">
        <f>'Price and Yields'!$E$11*'Year 6'!$D$7</f>
        <v>8</v>
      </c>
      <c r="E63" s="240" t="s">
        <v>83</v>
      </c>
      <c r="F63" s="240"/>
      <c r="G63" s="240"/>
      <c r="H63" s="240"/>
      <c r="I63" s="196"/>
      <c r="J63" s="196"/>
      <c r="K63" s="241"/>
    </row>
    <row r="64" spans="1:11" ht="15.6" x14ac:dyDescent="0.3">
      <c r="A64" s="2"/>
      <c r="B64" s="190" t="s">
        <v>84</v>
      </c>
      <c r="C64" s="191"/>
      <c r="D64" s="194">
        <f>'Price and Yields'!$E$12*'Year 6'!$D$7</f>
        <v>0</v>
      </c>
      <c r="E64" s="240" t="s">
        <v>83</v>
      </c>
      <c r="F64" s="240"/>
      <c r="G64" s="240"/>
      <c r="H64" s="240"/>
      <c r="I64" s="196"/>
      <c r="J64" s="196"/>
      <c r="K64" s="241"/>
    </row>
    <row r="65" spans="1:11" ht="15.6" x14ac:dyDescent="0.3">
      <c r="A65" s="2"/>
      <c r="B65" s="190" t="s">
        <v>85</v>
      </c>
      <c r="C65" s="191"/>
      <c r="D65" s="194">
        <f>'Price and Yields'!$E$13*'Year 6'!$D$7</f>
        <v>2</v>
      </c>
      <c r="E65" s="240" t="s">
        <v>83</v>
      </c>
      <c r="F65" s="240"/>
      <c r="G65" s="240"/>
      <c r="H65" s="240"/>
      <c r="I65" s="196"/>
      <c r="J65" s="196"/>
      <c r="K65" s="241"/>
    </row>
    <row r="66" spans="1:11" ht="15.6" x14ac:dyDescent="0.3">
      <c r="A66" s="2"/>
      <c r="B66" s="199" t="s">
        <v>86</v>
      </c>
      <c r="C66" s="200"/>
      <c r="D66" s="203">
        <f>'Price and Yields'!E14*'Year 6'!D7</f>
        <v>0</v>
      </c>
      <c r="E66" s="242" t="s">
        <v>83</v>
      </c>
      <c r="F66" s="242"/>
      <c r="G66" s="242"/>
      <c r="H66" s="242"/>
      <c r="I66" s="205"/>
      <c r="J66" s="205"/>
      <c r="K66" s="243"/>
    </row>
    <row r="67" spans="1:11" ht="15.6" x14ac:dyDescent="0.3">
      <c r="A67" s="2"/>
      <c r="B67" s="176"/>
      <c r="C67" s="177"/>
      <c r="D67" s="244"/>
      <c r="E67" s="178"/>
      <c r="F67" s="178"/>
      <c r="G67" s="178"/>
      <c r="H67" s="178"/>
      <c r="I67" s="179"/>
      <c r="J67" s="179"/>
      <c r="K67" s="180"/>
    </row>
    <row r="68" spans="1:11" ht="31.2" x14ac:dyDescent="0.3">
      <c r="A68" s="11"/>
      <c r="B68" s="231" t="s">
        <v>87</v>
      </c>
      <c r="C68" s="14"/>
      <c r="D68" s="173" t="s">
        <v>88</v>
      </c>
      <c r="E68" s="173" t="s">
        <v>89</v>
      </c>
      <c r="F68" s="173" t="s">
        <v>28</v>
      </c>
      <c r="G68" s="173" t="s">
        <v>90</v>
      </c>
      <c r="H68" s="173"/>
      <c r="I68" s="174" t="s">
        <v>29</v>
      </c>
      <c r="J68" s="174" t="s">
        <v>30</v>
      </c>
      <c r="K68" s="175" t="s">
        <v>31</v>
      </c>
    </row>
    <row r="69" spans="1:11" ht="15.6" x14ac:dyDescent="0.3">
      <c r="A69" s="2"/>
      <c r="B69" s="181" t="s">
        <v>91</v>
      </c>
      <c r="C69" s="182"/>
      <c r="D69" s="245">
        <v>60</v>
      </c>
      <c r="E69" s="246">
        <v>6</v>
      </c>
      <c r="F69" s="247">
        <f>($D$63+$D$64+$D$65+$D$66)*$D$5</f>
        <v>1400</v>
      </c>
      <c r="G69" s="248">
        <f>'Farm Parameters'!$D$10</f>
        <v>11</v>
      </c>
      <c r="H69" s="238"/>
      <c r="I69" s="188">
        <f>IF(ISERROR(J69/($D$63+$D$64+$D$65)),0,J69/($D$63+$D$64+$D$65))</f>
        <v>1.1000000000000001</v>
      </c>
      <c r="J69" s="189">
        <f>K69/$D$5</f>
        <v>11</v>
      </c>
      <c r="K69" s="249">
        <f>G69*E69*F69/D69</f>
        <v>1540</v>
      </c>
    </row>
    <row r="70" spans="1:11" ht="15.6" x14ac:dyDescent="0.3">
      <c r="A70" s="2"/>
      <c r="B70" s="190" t="s">
        <v>92</v>
      </c>
      <c r="C70" s="191"/>
      <c r="D70" s="250">
        <v>90</v>
      </c>
      <c r="E70" s="251">
        <v>6</v>
      </c>
      <c r="F70" s="252">
        <f>($D$63+$D$64)*$D$5</f>
        <v>1120</v>
      </c>
      <c r="G70" s="253">
        <f>'Farm Parameters'!$D$10</f>
        <v>11</v>
      </c>
      <c r="H70" s="240"/>
      <c r="I70" s="197">
        <f>IF(ISERROR(J70/($D$63+$D$64)),0,J70/($D$63+$D$64))</f>
        <v>0.73333333333333339</v>
      </c>
      <c r="J70" s="198">
        <f>K70/$D$5</f>
        <v>5.8666666666666671</v>
      </c>
      <c r="K70" s="255">
        <f>G70*E70*F70/D70</f>
        <v>821.33333333333337</v>
      </c>
    </row>
    <row r="71" spans="1:11" ht="15.6" x14ac:dyDescent="0.3">
      <c r="A71" s="2"/>
      <c r="B71" s="190" t="s">
        <v>93</v>
      </c>
      <c r="C71" s="191"/>
      <c r="D71" s="256">
        <v>90</v>
      </c>
      <c r="E71" s="257">
        <v>6</v>
      </c>
      <c r="F71" s="258">
        <f>($D$65)*'Price and Yields'!$E$8/'Price and Yields'!$E$6*$D$5</f>
        <v>161</v>
      </c>
      <c r="G71" s="259">
        <f>'Farm Parameters'!$D$10</f>
        <v>11</v>
      </c>
      <c r="H71" s="240"/>
      <c r="I71" s="197">
        <f>IF(ISERROR(J71/($D$65)),0,J71/($D$65))</f>
        <v>0.42166666666666663</v>
      </c>
      <c r="J71" s="198">
        <f>K71/$D$5</f>
        <v>0.84333333333333327</v>
      </c>
      <c r="K71" s="255">
        <f>G71*E71*F71/D71</f>
        <v>118.06666666666666</v>
      </c>
    </row>
    <row r="72" spans="1:11" ht="15.6" x14ac:dyDescent="0.3">
      <c r="A72" s="2"/>
      <c r="B72" s="190" t="s">
        <v>94</v>
      </c>
      <c r="C72" s="191"/>
      <c r="D72" s="240"/>
      <c r="E72" s="240"/>
      <c r="F72" s="240"/>
      <c r="G72" s="240"/>
      <c r="H72" s="240"/>
      <c r="I72" s="254">
        <f>'Year 1'!$I$72</f>
        <v>1.35E-2</v>
      </c>
      <c r="J72" s="255">
        <f t="shared" ref="J72:J77" si="3">K72/$D$5</f>
        <v>0.13500000000000001</v>
      </c>
      <c r="K72" s="255">
        <f t="shared" ref="K72:K77" si="4">I72*$D$7*$D$5</f>
        <v>18.900000000000002</v>
      </c>
    </row>
    <row r="73" spans="1:11" ht="15.6" x14ac:dyDescent="0.3">
      <c r="A73" s="2"/>
      <c r="B73" s="190" t="s">
        <v>95</v>
      </c>
      <c r="C73" s="191"/>
      <c r="D73" s="240"/>
      <c r="E73" s="240"/>
      <c r="F73" s="240"/>
      <c r="G73" s="240"/>
      <c r="H73" s="240"/>
      <c r="I73" s="254">
        <f>'Year 1'!$I$73</f>
        <v>0</v>
      </c>
      <c r="J73" s="255">
        <f t="shared" si="3"/>
        <v>0</v>
      </c>
      <c r="K73" s="255">
        <f t="shared" si="4"/>
        <v>0</v>
      </c>
    </row>
    <row r="74" spans="1:11" ht="15.6" x14ac:dyDescent="0.3">
      <c r="A74" s="2"/>
      <c r="B74" s="190" t="s">
        <v>96</v>
      </c>
      <c r="C74" s="191"/>
      <c r="D74" s="240"/>
      <c r="E74" s="240"/>
      <c r="F74" s="240"/>
      <c r="G74" s="240"/>
      <c r="H74" s="240"/>
      <c r="I74" s="254">
        <f>'Year 1'!$I$74</f>
        <v>1.65</v>
      </c>
      <c r="J74" s="255">
        <f>I74*(D63+D64)</f>
        <v>13.2</v>
      </c>
      <c r="K74" s="255">
        <f>J74*$D$5</f>
        <v>1848</v>
      </c>
    </row>
    <row r="75" spans="1:11" ht="15.6" x14ac:dyDescent="0.3">
      <c r="A75" s="2"/>
      <c r="B75" s="190" t="s">
        <v>97</v>
      </c>
      <c r="C75" s="191"/>
      <c r="D75" s="240"/>
      <c r="E75" s="240"/>
      <c r="F75" s="240"/>
      <c r="G75" s="240"/>
      <c r="H75" s="240"/>
      <c r="I75" s="254">
        <f>'Year 1'!$I$75</f>
        <v>1.38</v>
      </c>
      <c r="J75" s="255">
        <f>I75*($D$65)*'Price and Yields'!$E$8/'Price and Yields'!$E$6</f>
        <v>1.587</v>
      </c>
      <c r="K75" s="255">
        <f>J75*$D$5</f>
        <v>222.18</v>
      </c>
    </row>
    <row r="76" spans="1:11" ht="15.6" x14ac:dyDescent="0.3">
      <c r="A76" s="2"/>
      <c r="B76" s="190" t="s">
        <v>98</v>
      </c>
      <c r="C76" s="191"/>
      <c r="D76" s="240"/>
      <c r="E76" s="240"/>
      <c r="F76" s="240"/>
      <c r="G76" s="240"/>
      <c r="H76" s="240"/>
      <c r="I76" s="254">
        <f>'Year 1'!$I$76</f>
        <v>0.02</v>
      </c>
      <c r="J76" s="255">
        <f t="shared" si="3"/>
        <v>0.2</v>
      </c>
      <c r="K76" s="255">
        <f t="shared" si="4"/>
        <v>28</v>
      </c>
    </row>
    <row r="77" spans="1:11" ht="15.6" x14ac:dyDescent="0.3">
      <c r="A77" s="2"/>
      <c r="B77" s="190" t="s">
        <v>99</v>
      </c>
      <c r="C77" s="191"/>
      <c r="D77" s="240"/>
      <c r="E77" s="240"/>
      <c r="F77" s="240"/>
      <c r="G77" s="240"/>
      <c r="H77" s="240"/>
      <c r="I77" s="254">
        <f>'Year 1'!$I$77</f>
        <v>0.05</v>
      </c>
      <c r="J77" s="255">
        <f t="shared" si="3"/>
        <v>0.5</v>
      </c>
      <c r="K77" s="255">
        <f t="shared" si="4"/>
        <v>70</v>
      </c>
    </row>
    <row r="78" spans="1:11" ht="15.6" x14ac:dyDescent="0.3">
      <c r="A78" s="2"/>
      <c r="B78" s="190" t="s">
        <v>100</v>
      </c>
      <c r="C78" s="19">
        <v>0.125</v>
      </c>
      <c r="D78" s="240"/>
      <c r="E78" s="240"/>
      <c r="F78" s="240"/>
      <c r="G78" s="240"/>
      <c r="H78" s="240"/>
      <c r="I78" s="197">
        <f>C78*'Price and Yields'!$C$16*'Price and Yields'!$E$8</f>
        <v>1.7868750000000002</v>
      </c>
      <c r="J78" s="198">
        <f>I78*(D63+D64+D65)</f>
        <v>17.868750000000002</v>
      </c>
      <c r="K78" s="255">
        <f>J78*D5</f>
        <v>2501.6250000000005</v>
      </c>
    </row>
    <row r="79" spans="1:11" ht="15.6" x14ac:dyDescent="0.3">
      <c r="A79" s="2"/>
      <c r="B79" s="199" t="s">
        <v>101</v>
      </c>
      <c r="C79" s="6">
        <v>0.31</v>
      </c>
      <c r="D79" s="242"/>
      <c r="E79" s="242"/>
      <c r="F79" s="242"/>
      <c r="G79" s="242"/>
      <c r="H79" s="242"/>
      <c r="I79" s="206">
        <f>C79</f>
        <v>0.31</v>
      </c>
      <c r="J79" s="207">
        <f>I79*(D63+D64)+I79*(D65*'Price and Yields'!$E$8/'Price and Yields'!$E$6)</f>
        <v>2.8365</v>
      </c>
      <c r="K79" s="260">
        <f>J79*D5</f>
        <v>397.11</v>
      </c>
    </row>
    <row r="80" spans="1:11" ht="15.6" x14ac:dyDescent="0.3">
      <c r="A80" s="11"/>
      <c r="B80" s="261" t="s">
        <v>102</v>
      </c>
      <c r="C80" s="262"/>
      <c r="D80" s="263" t="s">
        <v>103</v>
      </c>
      <c r="E80" s="263"/>
      <c r="F80" s="263"/>
      <c r="G80" s="263"/>
      <c r="H80" s="263"/>
      <c r="I80" s="264"/>
      <c r="J80" s="264"/>
      <c r="K80" s="265"/>
    </row>
    <row r="81" spans="1:11" ht="15.6" x14ac:dyDescent="0.3">
      <c r="A81" s="2"/>
      <c r="B81" s="181" t="s">
        <v>104</v>
      </c>
      <c r="C81" s="182"/>
      <c r="D81" s="266">
        <v>145</v>
      </c>
      <c r="E81" s="238"/>
      <c r="F81" s="238"/>
      <c r="G81" s="238"/>
      <c r="H81" s="238"/>
      <c r="I81" s="188">
        <f>D81/$D$61</f>
        <v>1.0069444444444444</v>
      </c>
      <c r="J81" s="189">
        <f>I81*($D$63)</f>
        <v>8.0555555555555554</v>
      </c>
      <c r="K81" s="249">
        <f>J81*$D$5</f>
        <v>1127.7777777777778</v>
      </c>
    </row>
    <row r="82" spans="1:11" ht="15.6" x14ac:dyDescent="0.3">
      <c r="A82" s="2"/>
      <c r="B82" s="190" t="s">
        <v>105</v>
      </c>
      <c r="C82" s="191"/>
      <c r="D82" s="267">
        <v>145</v>
      </c>
      <c r="E82" s="240"/>
      <c r="F82" s="240"/>
      <c r="G82" s="240"/>
      <c r="H82" s="240"/>
      <c r="I82" s="197">
        <f>D82/D61</f>
        <v>1.0069444444444444</v>
      </c>
      <c r="J82" s="198">
        <f>I82*($D$64)</f>
        <v>0</v>
      </c>
      <c r="K82" s="255">
        <f>J82*$D$5</f>
        <v>0</v>
      </c>
    </row>
    <row r="83" spans="1:11" ht="15.6" x14ac:dyDescent="0.3">
      <c r="A83" s="2"/>
      <c r="B83" s="199" t="s">
        <v>106</v>
      </c>
      <c r="C83" s="200"/>
      <c r="D83" s="268">
        <v>145</v>
      </c>
      <c r="E83" s="242"/>
      <c r="F83" s="242"/>
      <c r="G83" s="242"/>
      <c r="H83" s="242"/>
      <c r="I83" s="206">
        <f>D83/$D$62</f>
        <v>1.4646464646464648</v>
      </c>
      <c r="J83" s="207">
        <f>I83*($D$65)*'Price and Yields'!$E$8/'Price and Yields'!$E$6</f>
        <v>1.6843434343434347</v>
      </c>
      <c r="K83" s="260">
        <f>J83*$D$5</f>
        <v>235.80808080808086</v>
      </c>
    </row>
    <row r="84" spans="1:11" ht="15.6" x14ac:dyDescent="0.3">
      <c r="A84" s="2"/>
      <c r="B84" s="231" t="s">
        <v>107</v>
      </c>
      <c r="C84" s="232"/>
      <c r="D84" s="233"/>
      <c r="E84" s="233"/>
      <c r="F84" s="233"/>
      <c r="G84" s="233"/>
      <c r="H84" s="233"/>
      <c r="I84" s="235">
        <f>SUM(I69:I83)</f>
        <v>10.943910353535353</v>
      </c>
      <c r="J84" s="235">
        <f>SUM(J69:J83)</f>
        <v>63.777148989899004</v>
      </c>
      <c r="K84" s="237">
        <f>SUM(K69:K83)</f>
        <v>8928.8008585858606</v>
      </c>
    </row>
    <row r="85" spans="1:11" ht="15.6" x14ac:dyDescent="0.3">
      <c r="A85" s="2"/>
      <c r="B85" s="2"/>
      <c r="C85" s="162"/>
      <c r="D85" s="162"/>
      <c r="E85" s="162"/>
      <c r="F85" s="162"/>
      <c r="G85" s="162"/>
      <c r="H85" s="162"/>
      <c r="I85" s="164"/>
      <c r="J85" s="164"/>
      <c r="K85" s="164"/>
    </row>
    <row r="86" spans="1:11" ht="15.6" x14ac:dyDescent="0.3">
      <c r="A86" s="2"/>
      <c r="B86" s="231" t="s">
        <v>108</v>
      </c>
      <c r="C86" s="232"/>
      <c r="D86" s="233"/>
      <c r="E86" s="233"/>
      <c r="F86" s="233"/>
      <c r="G86" s="233"/>
      <c r="H86" s="233"/>
      <c r="I86" s="235"/>
      <c r="J86" s="235">
        <f>J84+J58</f>
        <v>77.911018989899006</v>
      </c>
      <c r="K86" s="237">
        <f>K84+K58</f>
        <v>10907.54265858586</v>
      </c>
    </row>
    <row r="87" spans="1:11" ht="15.6" x14ac:dyDescent="0.3">
      <c r="A87" s="2"/>
      <c r="B87" s="269" t="s">
        <v>109</v>
      </c>
      <c r="C87" s="270"/>
      <c r="D87" s="234"/>
      <c r="E87" s="234"/>
      <c r="F87" s="234"/>
      <c r="G87" s="234"/>
      <c r="H87" s="234"/>
      <c r="I87" s="271"/>
      <c r="J87" s="271">
        <f>J14-J86</f>
        <v>65.038981010100983</v>
      </c>
      <c r="K87" s="272">
        <f>K14-K86</f>
        <v>9105.4573414141396</v>
      </c>
    </row>
    <row r="88" spans="1:11" ht="15.6" x14ac:dyDescent="0.3">
      <c r="A88" s="2"/>
      <c r="B88" s="2"/>
      <c r="C88" s="162"/>
      <c r="D88" s="273"/>
      <c r="E88" s="273"/>
      <c r="F88" s="273"/>
      <c r="G88" s="273"/>
      <c r="H88" s="273"/>
      <c r="I88" s="164"/>
      <c r="J88" s="164"/>
      <c r="K88" s="164"/>
    </row>
    <row r="89" spans="1:11" ht="15.6" x14ac:dyDescent="0.3">
      <c r="A89" s="2"/>
      <c r="B89" s="2" t="s">
        <v>110</v>
      </c>
      <c r="C89" s="162"/>
      <c r="D89" s="273"/>
      <c r="E89" s="273"/>
      <c r="F89" s="273"/>
      <c r="G89" s="273"/>
      <c r="H89" s="273"/>
      <c r="I89" s="164"/>
      <c r="J89" s="164"/>
      <c r="K89" s="164"/>
    </row>
    <row r="90" spans="1:11" ht="15.6" x14ac:dyDescent="0.3">
      <c r="A90" s="2"/>
      <c r="B90" s="2" t="s">
        <v>111</v>
      </c>
      <c r="C90" s="162"/>
      <c r="D90" s="162"/>
      <c r="E90" s="162"/>
      <c r="F90" s="162"/>
      <c r="G90" s="162"/>
      <c r="H90" s="162"/>
      <c r="I90" s="164"/>
      <c r="J90" s="164"/>
      <c r="K90" s="164"/>
    </row>
  </sheetData>
  <sheetProtection password="8D83" sheet="1" objects="1" scenarios="1"/>
  <phoneticPr fontId="5"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showRowColHeaders="0" zoomScale="75" workbookViewId="0">
      <selection activeCell="Y29" sqref="Y29"/>
    </sheetView>
  </sheetViews>
  <sheetFormatPr defaultRowHeight="13.2" x14ac:dyDescent="0.25"/>
  <cols>
    <col min="2" max="2" width="28.109375" customWidth="1"/>
    <col min="3" max="3" width="25" customWidth="1"/>
    <col min="4" max="11" width="16.44140625" customWidth="1"/>
  </cols>
  <sheetData>
    <row r="1" spans="1:11" ht="24.6" x14ac:dyDescent="0.4">
      <c r="A1" s="161" t="s">
        <v>117</v>
      </c>
      <c r="B1" s="2"/>
      <c r="C1" s="162"/>
      <c r="D1" s="163"/>
      <c r="E1" s="162"/>
      <c r="F1" s="162"/>
      <c r="G1" s="162"/>
      <c r="H1" s="162"/>
      <c r="I1" s="164"/>
      <c r="J1" s="164"/>
      <c r="K1" s="164"/>
    </row>
    <row r="2" spans="1:11" ht="15.6" x14ac:dyDescent="0.3">
      <c r="A2" s="2"/>
      <c r="B2" s="2"/>
      <c r="C2" s="162"/>
      <c r="D2" s="162"/>
      <c r="E2" s="162"/>
      <c r="F2" s="162"/>
      <c r="G2" s="162"/>
      <c r="H2" s="162"/>
      <c r="I2" s="164"/>
      <c r="J2" s="164"/>
      <c r="K2" s="164"/>
    </row>
    <row r="3" spans="1:11" ht="17.399999999999999" x14ac:dyDescent="0.3">
      <c r="A3" s="7" t="s">
        <v>22</v>
      </c>
      <c r="B3" s="2"/>
      <c r="C3" s="162"/>
      <c r="D3" s="162"/>
      <c r="E3" s="162"/>
      <c r="F3" s="162"/>
      <c r="G3" s="162"/>
      <c r="H3" s="162"/>
      <c r="I3" s="164"/>
      <c r="J3" s="164"/>
      <c r="K3" s="164"/>
    </row>
    <row r="4" spans="1:11" ht="17.399999999999999" x14ac:dyDescent="0.3">
      <c r="A4" s="7"/>
      <c r="B4" s="2"/>
      <c r="C4" s="162"/>
      <c r="D4" s="162"/>
      <c r="E4" s="162"/>
      <c r="F4" s="162"/>
      <c r="G4" s="162"/>
      <c r="H4" s="162"/>
      <c r="I4" s="164"/>
      <c r="J4" s="164"/>
      <c r="K4" s="164"/>
    </row>
    <row r="5" spans="1:11" ht="15.6" x14ac:dyDescent="0.3">
      <c r="A5" s="2"/>
      <c r="B5" s="2" t="s">
        <v>23</v>
      </c>
      <c r="C5" s="162"/>
      <c r="D5" s="165">
        <f>'Farm Parameters'!D6</f>
        <v>140</v>
      </c>
      <c r="E5" s="162"/>
      <c r="F5" s="162"/>
      <c r="G5" s="162"/>
      <c r="H5" s="162"/>
      <c r="I5" s="164"/>
      <c r="J5" s="164"/>
      <c r="K5" s="164"/>
    </row>
    <row r="6" spans="1:11" ht="6" customHeight="1" x14ac:dyDescent="0.3">
      <c r="A6" s="2"/>
      <c r="B6" s="2"/>
      <c r="C6" s="162"/>
      <c r="D6" s="166"/>
      <c r="E6" s="162"/>
      <c r="F6" s="162"/>
      <c r="G6" s="162"/>
      <c r="H6" s="162"/>
      <c r="I6" s="164"/>
      <c r="J6" s="164"/>
      <c r="K6" s="164"/>
    </row>
    <row r="7" spans="1:11" ht="15.6" x14ac:dyDescent="0.3">
      <c r="A7" s="2"/>
      <c r="B7" s="2" t="s">
        <v>24</v>
      </c>
      <c r="C7" s="162"/>
      <c r="D7" s="167">
        <f>'Price and Yields'!C27</f>
        <v>12</v>
      </c>
      <c r="E7" s="162"/>
      <c r="F7" s="162"/>
      <c r="G7" s="162"/>
      <c r="H7" s="162"/>
      <c r="I7" s="164"/>
      <c r="J7" s="164"/>
      <c r="K7" s="164"/>
    </row>
    <row r="8" spans="1:11" ht="6" customHeight="1" x14ac:dyDescent="0.3">
      <c r="A8" s="2"/>
      <c r="B8" s="2"/>
      <c r="C8" s="162"/>
      <c r="D8" s="162"/>
      <c r="E8" s="162"/>
      <c r="F8" s="162"/>
      <c r="G8" s="162"/>
      <c r="H8" s="162"/>
      <c r="I8" s="164"/>
      <c r="J8" s="164"/>
      <c r="K8" s="164"/>
    </row>
    <row r="9" spans="1:11" ht="15.6" x14ac:dyDescent="0.3">
      <c r="A9" s="2"/>
      <c r="B9" s="2" t="s">
        <v>25</v>
      </c>
      <c r="C9" s="162"/>
      <c r="D9" s="20">
        <f>'Price and Yields'!$C$16</f>
        <v>2.4860869565217394</v>
      </c>
      <c r="E9" s="162"/>
      <c r="F9" s="162"/>
      <c r="G9" s="162"/>
      <c r="H9" s="162"/>
      <c r="I9" s="164"/>
      <c r="J9" s="164"/>
      <c r="K9" s="164"/>
    </row>
    <row r="10" spans="1:11" ht="6" customHeight="1" x14ac:dyDescent="0.3">
      <c r="A10" s="2"/>
      <c r="B10" s="2"/>
      <c r="C10" s="162"/>
      <c r="D10" s="164"/>
      <c r="E10" s="162"/>
      <c r="F10" s="162"/>
      <c r="G10" s="162"/>
      <c r="H10" s="162"/>
      <c r="I10" s="164"/>
      <c r="J10" s="164"/>
      <c r="K10" s="164"/>
    </row>
    <row r="11" spans="1:11" ht="15.6" x14ac:dyDescent="0.3">
      <c r="A11" s="2"/>
      <c r="B11" s="2" t="s">
        <v>26</v>
      </c>
      <c r="C11" s="162"/>
      <c r="D11" s="5">
        <v>1000</v>
      </c>
      <c r="E11" s="162"/>
      <c r="F11" s="162"/>
      <c r="G11" s="162"/>
      <c r="H11" s="162"/>
      <c r="I11" s="164"/>
      <c r="J11" s="164"/>
      <c r="K11" s="164"/>
    </row>
    <row r="12" spans="1:11" ht="15.6" x14ac:dyDescent="0.3">
      <c r="A12" s="2"/>
      <c r="B12" s="2"/>
      <c r="C12" s="162"/>
      <c r="D12" s="168"/>
      <c r="E12" s="162"/>
      <c r="F12" s="162"/>
      <c r="G12" s="162"/>
      <c r="H12" s="162"/>
      <c r="I12" s="164"/>
      <c r="J12" s="164"/>
      <c r="K12" s="164"/>
    </row>
    <row r="13" spans="1:11" ht="17.399999999999999" x14ac:dyDescent="0.3">
      <c r="A13" s="7" t="s">
        <v>27</v>
      </c>
      <c r="B13" s="11"/>
      <c r="C13" s="162"/>
      <c r="D13" s="169"/>
      <c r="E13" s="169"/>
      <c r="F13" s="169"/>
      <c r="G13" s="162"/>
      <c r="H13" s="169" t="s">
        <v>28</v>
      </c>
      <c r="I13" s="170" t="s">
        <v>29</v>
      </c>
      <c r="J13" s="170" t="s">
        <v>30</v>
      </c>
      <c r="K13" s="170" t="s">
        <v>31</v>
      </c>
    </row>
    <row r="14" spans="1:11" ht="17.399999999999999" x14ac:dyDescent="0.3">
      <c r="A14" s="7"/>
      <c r="B14" s="11" t="s">
        <v>33</v>
      </c>
      <c r="C14" s="169"/>
      <c r="D14" s="162"/>
      <c r="E14" s="162"/>
      <c r="F14" s="162"/>
      <c r="G14" s="162"/>
      <c r="H14" s="171">
        <f>D7*D5</f>
        <v>1680</v>
      </c>
      <c r="I14" s="22">
        <f>IF(ISERROR(J14/D7),0,J14/D7)</f>
        <v>14.295000000000002</v>
      </c>
      <c r="J14" s="22">
        <f>K14/D5</f>
        <v>171.54000000000002</v>
      </c>
      <c r="K14" s="22">
        <f>H14*D9*'Price and Yields'!$E$8</f>
        <v>24015.600000000002</v>
      </c>
    </row>
    <row r="15" spans="1:11" ht="15.6" x14ac:dyDescent="0.3">
      <c r="A15" s="2"/>
      <c r="B15" s="2"/>
      <c r="C15" s="162"/>
      <c r="D15" s="162"/>
      <c r="E15" s="162"/>
      <c r="F15" s="162"/>
      <c r="G15" s="162"/>
      <c r="H15" s="162"/>
      <c r="I15" s="164"/>
      <c r="J15" s="164"/>
      <c r="K15" s="164"/>
    </row>
    <row r="16" spans="1:11" ht="17.399999999999999" x14ac:dyDescent="0.3">
      <c r="A16" s="172" t="s">
        <v>34</v>
      </c>
      <c r="B16" s="2"/>
      <c r="C16" s="162"/>
      <c r="D16" s="162"/>
      <c r="E16" s="162"/>
      <c r="F16" s="162"/>
      <c r="G16" s="162"/>
      <c r="H16" s="162"/>
      <c r="I16" s="164"/>
      <c r="J16" s="164"/>
      <c r="K16" s="164"/>
    </row>
    <row r="17" spans="1:11" ht="6" customHeight="1" x14ac:dyDescent="0.3">
      <c r="A17" s="172"/>
      <c r="B17" s="2"/>
      <c r="C17" s="162"/>
      <c r="D17" s="162"/>
      <c r="E17" s="162"/>
      <c r="F17" s="162"/>
      <c r="G17" s="162"/>
      <c r="H17" s="162"/>
      <c r="I17" s="164"/>
      <c r="J17" s="164"/>
      <c r="K17" s="164"/>
    </row>
    <row r="18" spans="1:11" ht="15.6" x14ac:dyDescent="0.3">
      <c r="A18" s="11"/>
      <c r="B18" s="12" t="s">
        <v>35</v>
      </c>
      <c r="C18" s="14"/>
      <c r="D18" s="173" t="s">
        <v>36</v>
      </c>
      <c r="E18" s="173" t="s">
        <v>37</v>
      </c>
      <c r="F18" s="173" t="s">
        <v>38</v>
      </c>
      <c r="G18" s="173" t="s">
        <v>39</v>
      </c>
      <c r="H18" s="173" t="s">
        <v>40</v>
      </c>
      <c r="I18" s="174"/>
      <c r="J18" s="174" t="s">
        <v>30</v>
      </c>
      <c r="K18" s="175" t="s">
        <v>31</v>
      </c>
    </row>
    <row r="19" spans="1:11" ht="15.6" x14ac:dyDescent="0.3">
      <c r="A19" s="2"/>
      <c r="B19" s="176" t="s">
        <v>41</v>
      </c>
      <c r="C19" s="177"/>
      <c r="D19" s="178"/>
      <c r="E19" s="178"/>
      <c r="F19" s="178"/>
      <c r="G19" s="178"/>
      <c r="H19" s="178"/>
      <c r="I19" s="179"/>
      <c r="J19" s="179"/>
      <c r="K19" s="180"/>
    </row>
    <row r="20" spans="1:11" ht="15.6" x14ac:dyDescent="0.3">
      <c r="A20" s="2"/>
      <c r="B20" s="181" t="s">
        <v>42</v>
      </c>
      <c r="C20" s="182"/>
      <c r="D20" s="183">
        <v>6</v>
      </c>
      <c r="E20" s="184" t="s">
        <v>43</v>
      </c>
      <c r="F20" s="185" t="s">
        <v>44</v>
      </c>
      <c r="G20" s="183">
        <v>1</v>
      </c>
      <c r="H20" s="186">
        <f>'Year 1'!$H$20</f>
        <v>1.65</v>
      </c>
      <c r="I20" s="187"/>
      <c r="J20" s="188">
        <f>K20/$D$5</f>
        <v>7.0714285714285702E-2</v>
      </c>
      <c r="K20" s="189">
        <f>H20*G20*D20</f>
        <v>9.8999999999999986</v>
      </c>
    </row>
    <row r="21" spans="1:11" ht="15.6" x14ac:dyDescent="0.3">
      <c r="A21" s="2"/>
      <c r="B21" s="190" t="s">
        <v>45</v>
      </c>
      <c r="C21" s="191"/>
      <c r="D21" s="192">
        <v>18</v>
      </c>
      <c r="E21" s="193" t="s">
        <v>43</v>
      </c>
      <c r="F21" s="194" t="s">
        <v>44</v>
      </c>
      <c r="G21" s="192">
        <v>0.4</v>
      </c>
      <c r="H21" s="195">
        <f>'Year 1'!$H$21</f>
        <v>3</v>
      </c>
      <c r="I21" s="196"/>
      <c r="J21" s="197">
        <f>K21/$D$5</f>
        <v>0.1542857142857143</v>
      </c>
      <c r="K21" s="198">
        <f>H21*G21*D21</f>
        <v>21.6</v>
      </c>
    </row>
    <row r="22" spans="1:11" ht="15.6" x14ac:dyDescent="0.3">
      <c r="A22" s="2"/>
      <c r="B22" s="199" t="s">
        <v>46</v>
      </c>
      <c r="C22" s="200"/>
      <c r="D22" s="201">
        <v>6</v>
      </c>
      <c r="E22" s="202" t="s">
        <v>43</v>
      </c>
      <c r="F22" s="203" t="s">
        <v>44</v>
      </c>
      <c r="G22" s="201">
        <v>0.4</v>
      </c>
      <c r="H22" s="204">
        <f>'Year 1'!$H$22</f>
        <v>1.65</v>
      </c>
      <c r="I22" s="205"/>
      <c r="J22" s="206">
        <f>K22/$D$5</f>
        <v>2.8285714285714286E-2</v>
      </c>
      <c r="K22" s="207">
        <f>H22*G22*D22</f>
        <v>3.96</v>
      </c>
    </row>
    <row r="23" spans="1:11" ht="15.6" x14ac:dyDescent="0.3">
      <c r="A23" s="2"/>
      <c r="B23" s="21" t="s">
        <v>47</v>
      </c>
      <c r="C23" s="208"/>
      <c r="D23" s="209"/>
      <c r="E23" s="209"/>
      <c r="F23" s="209"/>
      <c r="G23" s="209"/>
      <c r="H23" s="210"/>
      <c r="I23" s="23"/>
      <c r="J23" s="23"/>
      <c r="K23" s="211">
        <f>SUM(K20:K22)</f>
        <v>35.46</v>
      </c>
    </row>
    <row r="24" spans="1:11" ht="15.6" x14ac:dyDescent="0.3">
      <c r="A24" s="2"/>
      <c r="B24" s="176" t="s">
        <v>48</v>
      </c>
      <c r="C24" s="177"/>
      <c r="D24" s="178"/>
      <c r="E24" s="178"/>
      <c r="F24" s="178"/>
      <c r="G24" s="178"/>
      <c r="H24" s="212"/>
      <c r="I24" s="179"/>
      <c r="J24" s="179"/>
      <c r="K24" s="180"/>
    </row>
    <row r="25" spans="1:11" ht="15.6" x14ac:dyDescent="0.3">
      <c r="A25" s="2"/>
      <c r="B25" s="181" t="s">
        <v>49</v>
      </c>
      <c r="C25" s="182"/>
      <c r="D25" s="183">
        <v>2</v>
      </c>
      <c r="E25" s="184" t="s">
        <v>43</v>
      </c>
      <c r="F25" s="183">
        <v>0.06</v>
      </c>
      <c r="G25" s="213">
        <f>F25*$D$5</f>
        <v>8.4</v>
      </c>
      <c r="H25" s="186">
        <f>'Farm Parameters'!$D$10</f>
        <v>11</v>
      </c>
      <c r="I25" s="187"/>
      <c r="J25" s="188">
        <f>K25/$D$5</f>
        <v>1.32</v>
      </c>
      <c r="K25" s="189">
        <f>H25*G25*D25</f>
        <v>184.8</v>
      </c>
    </row>
    <row r="26" spans="1:11" ht="15.6" x14ac:dyDescent="0.3">
      <c r="A26" s="2"/>
      <c r="B26" s="190" t="s">
        <v>50</v>
      </c>
      <c r="C26" s="191"/>
      <c r="D26" s="192">
        <v>1</v>
      </c>
      <c r="E26" s="193" t="s">
        <v>43</v>
      </c>
      <c r="F26" s="192">
        <v>0.2</v>
      </c>
      <c r="G26" s="214">
        <f>F26*$D$5</f>
        <v>28</v>
      </c>
      <c r="H26" s="195">
        <f>H25</f>
        <v>11</v>
      </c>
      <c r="I26" s="196"/>
      <c r="J26" s="197">
        <f>K26/$D$5</f>
        <v>2.2000000000000002</v>
      </c>
      <c r="K26" s="198">
        <f>H26*G26*D26</f>
        <v>308</v>
      </c>
    </row>
    <row r="27" spans="1:11" ht="15.6" x14ac:dyDescent="0.3">
      <c r="A27" s="2"/>
      <c r="B27" s="199" t="s">
        <v>51</v>
      </c>
      <c r="C27" s="200"/>
      <c r="D27" s="201">
        <v>1</v>
      </c>
      <c r="E27" s="202" t="s">
        <v>43</v>
      </c>
      <c r="F27" s="201">
        <v>0.25</v>
      </c>
      <c r="G27" s="215">
        <f>F27*$D$5</f>
        <v>35</v>
      </c>
      <c r="H27" s="204">
        <f>H25</f>
        <v>11</v>
      </c>
      <c r="I27" s="205"/>
      <c r="J27" s="206">
        <f>K27/$D$5</f>
        <v>2.75</v>
      </c>
      <c r="K27" s="207">
        <f>H27*G27*D27</f>
        <v>385</v>
      </c>
    </row>
    <row r="28" spans="1:11" ht="15.6" x14ac:dyDescent="0.3">
      <c r="A28" s="2"/>
      <c r="B28" s="21" t="s">
        <v>47</v>
      </c>
      <c r="C28" s="208"/>
      <c r="D28" s="209"/>
      <c r="E28" s="209"/>
      <c r="F28" s="209"/>
      <c r="G28" s="209"/>
      <c r="H28" s="210"/>
      <c r="I28" s="23"/>
      <c r="J28" s="23"/>
      <c r="K28" s="211">
        <f>SUM(K25:K27)</f>
        <v>877.8</v>
      </c>
    </row>
    <row r="29" spans="1:11" ht="15.6" x14ac:dyDescent="0.3">
      <c r="A29" s="2"/>
      <c r="B29" s="176" t="s">
        <v>46</v>
      </c>
      <c r="C29" s="177"/>
      <c r="D29" s="178"/>
      <c r="E29" s="178"/>
      <c r="F29" s="178"/>
      <c r="G29" s="178"/>
      <c r="H29" s="216"/>
      <c r="I29" s="179"/>
      <c r="J29" s="179"/>
      <c r="K29" s="180"/>
    </row>
    <row r="30" spans="1:11" ht="15.6" x14ac:dyDescent="0.3">
      <c r="A30" s="2"/>
      <c r="B30" s="181" t="s">
        <v>52</v>
      </c>
      <c r="C30" s="182"/>
      <c r="D30" s="183">
        <v>0</v>
      </c>
      <c r="E30" s="184" t="s">
        <v>53</v>
      </c>
      <c r="F30" s="183">
        <v>0.2</v>
      </c>
      <c r="G30" s="185">
        <f>F30*$D$5</f>
        <v>28</v>
      </c>
      <c r="H30" s="186">
        <f>'Year 1'!$H$30</f>
        <v>0.47</v>
      </c>
      <c r="I30" s="187"/>
      <c r="J30" s="189">
        <f t="shared" ref="J30:J37" si="0">K30/$D$5</f>
        <v>0</v>
      </c>
      <c r="K30" s="189">
        <f t="shared" ref="K30:K37" si="1">H30*G30*D30</f>
        <v>0</v>
      </c>
    </row>
    <row r="31" spans="1:11" ht="15.6" x14ac:dyDescent="0.3">
      <c r="A31" s="2"/>
      <c r="B31" s="190" t="s">
        <v>54</v>
      </c>
      <c r="C31" s="191"/>
      <c r="D31" s="192">
        <v>3</v>
      </c>
      <c r="E31" s="193" t="s">
        <v>53</v>
      </c>
      <c r="F31" s="192">
        <v>1.6</v>
      </c>
      <c r="G31" s="194">
        <f t="shared" ref="G31:G37" si="2">F31*$D$5</f>
        <v>224</v>
      </c>
      <c r="H31" s="195">
        <f>'Year 1'!$H$31</f>
        <v>0.53</v>
      </c>
      <c r="I31" s="196"/>
      <c r="J31" s="198">
        <f t="shared" si="0"/>
        <v>2.5439999999999996</v>
      </c>
      <c r="K31" s="198">
        <f t="shared" si="1"/>
        <v>356.15999999999997</v>
      </c>
    </row>
    <row r="32" spans="1:11" ht="15.6" x14ac:dyDescent="0.3">
      <c r="A32" s="2"/>
      <c r="B32" s="190" t="s">
        <v>55</v>
      </c>
      <c r="C32" s="191"/>
      <c r="D32" s="192">
        <v>0</v>
      </c>
      <c r="E32" s="193" t="s">
        <v>56</v>
      </c>
      <c r="F32" s="192">
        <v>0.35</v>
      </c>
      <c r="G32" s="194">
        <f t="shared" si="2"/>
        <v>49</v>
      </c>
      <c r="H32" s="195">
        <f>'Year 1'!$H$32</f>
        <v>3.0000000000000001E-3</v>
      </c>
      <c r="I32" s="196"/>
      <c r="J32" s="198">
        <f t="shared" si="0"/>
        <v>0</v>
      </c>
      <c r="K32" s="198">
        <f t="shared" si="1"/>
        <v>0</v>
      </c>
    </row>
    <row r="33" spans="1:11" ht="15.6" x14ac:dyDescent="0.3">
      <c r="A33" s="2"/>
      <c r="B33" s="190" t="s">
        <v>57</v>
      </c>
      <c r="C33" s="191"/>
      <c r="D33" s="192">
        <v>1</v>
      </c>
      <c r="E33" s="193" t="s">
        <v>58</v>
      </c>
      <c r="F33" s="192">
        <v>4</v>
      </c>
      <c r="G33" s="194">
        <f t="shared" si="2"/>
        <v>560</v>
      </c>
      <c r="H33" s="195">
        <f>'Year 1'!$H$33</f>
        <v>1.5</v>
      </c>
      <c r="I33" s="196"/>
      <c r="J33" s="198">
        <f t="shared" si="0"/>
        <v>6</v>
      </c>
      <c r="K33" s="198">
        <f t="shared" si="1"/>
        <v>840</v>
      </c>
    </row>
    <row r="34" spans="1:11" ht="15.6" x14ac:dyDescent="0.3">
      <c r="A34" s="2"/>
      <c r="B34" s="190" t="s">
        <v>59</v>
      </c>
      <c r="C34" s="191"/>
      <c r="D34" s="192">
        <v>1</v>
      </c>
      <c r="E34" s="193" t="s">
        <v>53</v>
      </c>
      <c r="F34" s="192">
        <v>0.2</v>
      </c>
      <c r="G34" s="194">
        <f t="shared" si="2"/>
        <v>28</v>
      </c>
      <c r="H34" s="195">
        <f>'Year 1'!$H$34</f>
        <v>0.88</v>
      </c>
      <c r="I34" s="196"/>
      <c r="J34" s="198">
        <f t="shared" si="0"/>
        <v>0.17600000000000002</v>
      </c>
      <c r="K34" s="198">
        <f t="shared" si="1"/>
        <v>24.64</v>
      </c>
    </row>
    <row r="35" spans="1:11" ht="15.6" x14ac:dyDescent="0.3">
      <c r="A35" s="2"/>
      <c r="B35" s="190" t="s">
        <v>60</v>
      </c>
      <c r="C35" s="191"/>
      <c r="D35" s="192">
        <v>1</v>
      </c>
      <c r="E35" s="193" t="s">
        <v>53</v>
      </c>
      <c r="F35" s="192">
        <v>0.5</v>
      </c>
      <c r="G35" s="194">
        <f t="shared" si="2"/>
        <v>70</v>
      </c>
      <c r="H35" s="195">
        <f>'Year 1'!$H$35</f>
        <v>1</v>
      </c>
      <c r="I35" s="196"/>
      <c r="J35" s="198">
        <f t="shared" si="0"/>
        <v>0.5</v>
      </c>
      <c r="K35" s="198">
        <f t="shared" si="1"/>
        <v>70</v>
      </c>
    </row>
    <row r="36" spans="1:11" ht="15.6" x14ac:dyDescent="0.3">
      <c r="A36" s="2"/>
      <c r="B36" s="190" t="s">
        <v>61</v>
      </c>
      <c r="C36" s="191"/>
      <c r="D36" s="192">
        <v>3</v>
      </c>
      <c r="E36" s="193" t="s">
        <v>53</v>
      </c>
      <c r="F36" s="192">
        <v>0.15</v>
      </c>
      <c r="G36" s="194">
        <f t="shared" si="2"/>
        <v>21</v>
      </c>
      <c r="H36" s="195">
        <f>'Year 1'!$H$36</f>
        <v>2.7792000000000003</v>
      </c>
      <c r="I36" s="196"/>
      <c r="J36" s="198">
        <f t="shared" si="0"/>
        <v>1.2506400000000002</v>
      </c>
      <c r="K36" s="198">
        <f t="shared" si="1"/>
        <v>175.08960000000002</v>
      </c>
    </row>
    <row r="37" spans="1:11" ht="15.6" x14ac:dyDescent="0.3">
      <c r="A37" s="2"/>
      <c r="B37" s="199" t="s">
        <v>62</v>
      </c>
      <c r="C37" s="200"/>
      <c r="D37" s="201">
        <v>1</v>
      </c>
      <c r="E37" s="193" t="s">
        <v>53</v>
      </c>
      <c r="F37" s="201">
        <v>2</v>
      </c>
      <c r="G37" s="203">
        <f t="shared" si="2"/>
        <v>280</v>
      </c>
      <c r="H37" s="204">
        <f>'Year 1'!$H$37</f>
        <v>0.14000000000000001</v>
      </c>
      <c r="I37" s="205"/>
      <c r="J37" s="207">
        <f t="shared" si="0"/>
        <v>0.28000000000000003</v>
      </c>
      <c r="K37" s="207">
        <f t="shared" si="1"/>
        <v>39.200000000000003</v>
      </c>
    </row>
    <row r="38" spans="1:11" ht="15.6" x14ac:dyDescent="0.3">
      <c r="A38" s="2"/>
      <c r="B38" s="21" t="s">
        <v>47</v>
      </c>
      <c r="C38" s="208"/>
      <c r="D38" s="209"/>
      <c r="E38" s="209"/>
      <c r="F38" s="209"/>
      <c r="G38" s="209"/>
      <c r="H38" s="217"/>
      <c r="I38" s="23"/>
      <c r="J38" s="23"/>
      <c r="K38" s="211">
        <f>SUM(K30:K37)</f>
        <v>1505.0896</v>
      </c>
    </row>
    <row r="39" spans="1:11" ht="15.6" x14ac:dyDescent="0.3">
      <c r="A39" s="2"/>
      <c r="B39" s="176" t="s">
        <v>63</v>
      </c>
      <c r="C39" s="177"/>
      <c r="D39" s="178"/>
      <c r="E39" s="178"/>
      <c r="F39" s="178"/>
      <c r="G39" s="178"/>
      <c r="H39" s="216"/>
      <c r="I39" s="179"/>
      <c r="J39" s="179"/>
      <c r="K39" s="180"/>
    </row>
    <row r="40" spans="1:11" ht="15.6" x14ac:dyDescent="0.3">
      <c r="A40" s="2"/>
      <c r="B40" s="181" t="s">
        <v>64</v>
      </c>
      <c r="C40" s="182"/>
      <c r="D40" s="183">
        <v>5</v>
      </c>
      <c r="E40" s="184" t="s">
        <v>56</v>
      </c>
      <c r="F40" s="218">
        <v>8.0000000000000002E-3</v>
      </c>
      <c r="G40" s="213">
        <f>F40*$D$5</f>
        <v>1.1200000000000001</v>
      </c>
      <c r="H40" s="186">
        <f>'Year 1'!$H$40</f>
        <v>9.75</v>
      </c>
      <c r="I40" s="187"/>
      <c r="J40" s="188">
        <f>K40/$D$5</f>
        <v>0.39000000000000007</v>
      </c>
      <c r="K40" s="189">
        <f>H40*G40*D40</f>
        <v>54.600000000000009</v>
      </c>
    </row>
    <row r="41" spans="1:11" ht="15.6" x14ac:dyDescent="0.3">
      <c r="A41" s="2"/>
      <c r="B41" s="219" t="s">
        <v>65</v>
      </c>
      <c r="C41" s="191"/>
      <c r="D41" s="192">
        <v>0</v>
      </c>
      <c r="E41" s="193" t="s">
        <v>56</v>
      </c>
      <c r="F41" s="220">
        <v>0.03</v>
      </c>
      <c r="G41" s="214">
        <f>F41*$D$5</f>
        <v>4.2</v>
      </c>
      <c r="H41" s="195">
        <f>'Year 1'!$H$41</f>
        <v>0</v>
      </c>
      <c r="I41" s="196"/>
      <c r="J41" s="197">
        <f>K41/$D$5</f>
        <v>0</v>
      </c>
      <c r="K41" s="198">
        <f>H41*G41*D41</f>
        <v>0</v>
      </c>
    </row>
    <row r="42" spans="1:11" ht="15.6" x14ac:dyDescent="0.3">
      <c r="A42" s="2"/>
      <c r="B42" s="221" t="s">
        <v>65</v>
      </c>
      <c r="C42" s="200"/>
      <c r="D42" s="201">
        <v>0</v>
      </c>
      <c r="E42" s="202" t="s">
        <v>56</v>
      </c>
      <c r="F42" s="222">
        <v>0.03</v>
      </c>
      <c r="G42" s="215">
        <f>F42*$D$5</f>
        <v>4.2</v>
      </c>
      <c r="H42" s="204">
        <f>'Year 1'!$H$42</f>
        <v>0</v>
      </c>
      <c r="I42" s="205"/>
      <c r="J42" s="206">
        <f>K42/$D$5</f>
        <v>0</v>
      </c>
      <c r="K42" s="207">
        <f>H42*G42*D42</f>
        <v>0</v>
      </c>
    </row>
    <row r="43" spans="1:11" ht="15.6" x14ac:dyDescent="0.3">
      <c r="A43" s="2"/>
      <c r="B43" s="21" t="s">
        <v>47</v>
      </c>
      <c r="C43" s="208"/>
      <c r="D43" s="209"/>
      <c r="E43" s="209"/>
      <c r="F43" s="209"/>
      <c r="G43" s="209"/>
      <c r="H43" s="217"/>
      <c r="I43" s="23"/>
      <c r="J43" s="23"/>
      <c r="K43" s="211">
        <f>SUM(K40:K42)</f>
        <v>54.600000000000009</v>
      </c>
    </row>
    <row r="44" spans="1:11" ht="15.6" x14ac:dyDescent="0.3">
      <c r="A44" s="11"/>
      <c r="B44" s="176" t="s">
        <v>66</v>
      </c>
      <c r="C44" s="177"/>
      <c r="D44" s="178"/>
      <c r="E44" s="178"/>
      <c r="F44" s="178"/>
      <c r="G44" s="178"/>
      <c r="H44" s="212"/>
      <c r="I44" s="179"/>
      <c r="J44" s="179"/>
      <c r="K44" s="180"/>
    </row>
    <row r="45" spans="1:11" ht="15.6" x14ac:dyDescent="0.3">
      <c r="A45" s="2"/>
      <c r="B45" s="190" t="s">
        <v>68</v>
      </c>
      <c r="C45" s="223"/>
      <c r="D45" s="183">
        <v>7</v>
      </c>
      <c r="E45" s="193" t="s">
        <v>56</v>
      </c>
      <c r="F45" s="224">
        <f>IF(D45=0,0,$D$11/100*'Year 1'!$C45/$D$5)</f>
        <v>1.0714285714285714E-2</v>
      </c>
      <c r="G45" s="194">
        <f>F45*$D$5</f>
        <v>1.5</v>
      </c>
      <c r="H45" s="195">
        <f>'Year 1'!$H$45</f>
        <v>7.65</v>
      </c>
      <c r="I45" s="196"/>
      <c r="J45" s="198">
        <f>K45/$D$5</f>
        <v>0.57375000000000009</v>
      </c>
      <c r="K45" s="198">
        <f>H45*G45*D45</f>
        <v>80.325000000000017</v>
      </c>
    </row>
    <row r="46" spans="1:11" ht="15.6" x14ac:dyDescent="0.3">
      <c r="A46" s="2"/>
      <c r="B46" s="190" t="s">
        <v>69</v>
      </c>
      <c r="C46" s="223"/>
      <c r="D46" s="192">
        <v>4</v>
      </c>
      <c r="E46" s="193" t="s">
        <v>56</v>
      </c>
      <c r="F46" s="224">
        <f>IF(D46=0,0,$D$11/100*'Year 1'!$C46/$D$5)</f>
        <v>7.1428571428571426E-3</v>
      </c>
      <c r="G46" s="194">
        <f>F46*$D$5</f>
        <v>1</v>
      </c>
      <c r="H46" s="195">
        <f>'Year 1'!$H$46</f>
        <v>17.82</v>
      </c>
      <c r="I46" s="196"/>
      <c r="J46" s="198">
        <f>K46/$D$5</f>
        <v>0.50914285714285712</v>
      </c>
      <c r="K46" s="198">
        <f>H46*G46*D46</f>
        <v>71.28</v>
      </c>
    </row>
    <row r="47" spans="1:11" ht="15.6" x14ac:dyDescent="0.3">
      <c r="A47" s="2"/>
      <c r="B47" s="190" t="s">
        <v>70</v>
      </c>
      <c r="C47" s="223"/>
      <c r="D47" s="192">
        <v>2</v>
      </c>
      <c r="E47" s="193" t="s">
        <v>56</v>
      </c>
      <c r="F47" s="224">
        <f>IF(D47=0,0,$D$11/100*'Year 1'!$C47/$D$5)</f>
        <v>2.7142857142857142E-3</v>
      </c>
      <c r="G47" s="194">
        <f>F47*$D$5</f>
        <v>0.38</v>
      </c>
      <c r="H47" s="195">
        <f>'Year 1'!$H$47</f>
        <v>82.72</v>
      </c>
      <c r="I47" s="196"/>
      <c r="J47" s="198">
        <f>K47/$D$5</f>
        <v>0.44905142857142855</v>
      </c>
      <c r="K47" s="198">
        <f>H47*G47*D47</f>
        <v>62.867199999999997</v>
      </c>
    </row>
    <row r="48" spans="1:11" ht="15.6" x14ac:dyDescent="0.3">
      <c r="A48" s="2"/>
      <c r="B48" s="190" t="s">
        <v>71</v>
      </c>
      <c r="C48" s="223"/>
      <c r="D48" s="201">
        <v>3</v>
      </c>
      <c r="E48" s="193" t="s">
        <v>56</v>
      </c>
      <c r="F48" s="224">
        <f>IF(D48=0,0,$D$11/100*'Year 1'!$C48/$D$5)</f>
        <v>5.3571428571428572E-3</v>
      </c>
      <c r="G48" s="194">
        <f>F48*$D$5</f>
        <v>0.75</v>
      </c>
      <c r="H48" s="195">
        <f>'Year 1'!$H$48</f>
        <v>8.1999999999999993</v>
      </c>
      <c r="I48" s="196"/>
      <c r="J48" s="198">
        <f>K48/$D$5</f>
        <v>0.13178571428571428</v>
      </c>
      <c r="K48" s="198">
        <f>H48*G48*D48</f>
        <v>18.45</v>
      </c>
    </row>
    <row r="49" spans="1:11" ht="15.6" x14ac:dyDescent="0.3">
      <c r="A49" s="2"/>
      <c r="B49" s="21" t="s">
        <v>47</v>
      </c>
      <c r="C49" s="208"/>
      <c r="D49" s="209"/>
      <c r="E49" s="209"/>
      <c r="F49" s="209"/>
      <c r="G49" s="209"/>
      <c r="H49" s="210"/>
      <c r="I49" s="23"/>
      <c r="J49" s="23"/>
      <c r="K49" s="211">
        <f>SUM(K45:K48)</f>
        <v>232.9222</v>
      </c>
    </row>
    <row r="50" spans="1:11" ht="15.6" x14ac:dyDescent="0.3">
      <c r="A50" s="2"/>
      <c r="B50" s="176" t="s">
        <v>72</v>
      </c>
      <c r="C50" s="177"/>
      <c r="D50" s="178"/>
      <c r="E50" s="178"/>
      <c r="F50" s="178"/>
      <c r="G50" s="178"/>
      <c r="H50" s="216"/>
      <c r="I50" s="179"/>
      <c r="J50" s="179"/>
      <c r="K50" s="180"/>
    </row>
    <row r="51" spans="1:11" ht="15.6" x14ac:dyDescent="0.3">
      <c r="A51" s="2"/>
      <c r="B51" s="181" t="s">
        <v>73</v>
      </c>
      <c r="C51" s="225"/>
      <c r="D51" s="226">
        <v>11</v>
      </c>
      <c r="E51" s="193" t="s">
        <v>53</v>
      </c>
      <c r="F51" s="224">
        <f>IF(D51=0,0,$D$11/100*'Year 1'!$C51/$D$5)</f>
        <v>1.4285714285714285E-2</v>
      </c>
      <c r="G51" s="213">
        <f>F51*$D$5</f>
        <v>2</v>
      </c>
      <c r="H51" s="186">
        <f>'Year 1'!$H$51</f>
        <v>6.33</v>
      </c>
      <c r="I51" s="187"/>
      <c r="J51" s="188">
        <f>K51/$D$5</f>
        <v>0.99471428571428566</v>
      </c>
      <c r="K51" s="189">
        <f>H51*G51*D51</f>
        <v>139.26</v>
      </c>
    </row>
    <row r="52" spans="1:11" ht="15.6" x14ac:dyDescent="0.3">
      <c r="A52" s="2"/>
      <c r="B52" s="219" t="s">
        <v>74</v>
      </c>
      <c r="C52" s="227"/>
      <c r="D52" s="228">
        <v>2</v>
      </c>
      <c r="E52" s="193" t="s">
        <v>56</v>
      </c>
      <c r="F52" s="308">
        <v>0.15</v>
      </c>
      <c r="G52" s="214">
        <f>F52*$D$5</f>
        <v>21</v>
      </c>
      <c r="H52" s="195">
        <f>'Year 1'!$H$52</f>
        <v>2.2000000000000002</v>
      </c>
      <c r="I52" s="196"/>
      <c r="J52" s="197">
        <f>K52/$D$5</f>
        <v>0.66</v>
      </c>
      <c r="K52" s="198">
        <f>H52*G52*D52</f>
        <v>92.4</v>
      </c>
    </row>
    <row r="53" spans="1:11" ht="15.6" x14ac:dyDescent="0.3">
      <c r="A53" s="2"/>
      <c r="B53" s="221" t="s">
        <v>65</v>
      </c>
      <c r="C53" s="229"/>
      <c r="D53" s="230">
        <v>0</v>
      </c>
      <c r="E53" s="193" t="s">
        <v>53</v>
      </c>
      <c r="F53" s="224">
        <f>IF(D53=0,0,$D$11/100*'Year 1'!$C53/$D$5)</f>
        <v>0</v>
      </c>
      <c r="G53" s="215">
        <f>F53*$D$5</f>
        <v>0</v>
      </c>
      <c r="H53" s="204">
        <f>'Year 1'!$H$53</f>
        <v>0</v>
      </c>
      <c r="I53" s="205"/>
      <c r="J53" s="206">
        <f>K53/$D$5</f>
        <v>0</v>
      </c>
      <c r="K53" s="207">
        <f>H53*G53*D53</f>
        <v>0</v>
      </c>
    </row>
    <row r="54" spans="1:11" ht="15.6" x14ac:dyDescent="0.3">
      <c r="A54" s="2"/>
      <c r="B54" s="21" t="s">
        <v>47</v>
      </c>
      <c r="C54" s="208"/>
      <c r="D54" s="209"/>
      <c r="E54" s="209"/>
      <c r="F54" s="209"/>
      <c r="G54" s="209"/>
      <c r="H54" s="217"/>
      <c r="I54" s="23"/>
      <c r="J54" s="23"/>
      <c r="K54" s="211">
        <f>SUM(K51:K53)</f>
        <v>231.66</v>
      </c>
    </row>
    <row r="55" spans="1:11" ht="15.6" x14ac:dyDescent="0.3">
      <c r="A55" s="2"/>
      <c r="B55" s="176" t="s">
        <v>65</v>
      </c>
      <c r="C55" s="177"/>
      <c r="D55" s="178"/>
      <c r="E55" s="178"/>
      <c r="F55" s="178"/>
      <c r="G55" s="178"/>
      <c r="H55" s="216"/>
      <c r="I55" s="179"/>
      <c r="J55" s="179"/>
      <c r="K55" s="180"/>
    </row>
    <row r="56" spans="1:11" ht="15.6" x14ac:dyDescent="0.3">
      <c r="A56" s="2"/>
      <c r="B56" s="181" t="s">
        <v>75</v>
      </c>
      <c r="C56" s="182"/>
      <c r="D56" s="185" t="s">
        <v>44</v>
      </c>
      <c r="E56" s="184" t="s">
        <v>76</v>
      </c>
      <c r="F56" s="185" t="s">
        <v>44</v>
      </c>
      <c r="G56" s="309">
        <v>8.0500000000000007</v>
      </c>
      <c r="H56" s="186">
        <f>'Year 1'!$H$56</f>
        <v>30</v>
      </c>
      <c r="I56" s="187"/>
      <c r="J56" s="188">
        <f>K56/$D$5</f>
        <v>1.7250000000000003</v>
      </c>
      <c r="K56" s="189">
        <f>H56*G56</f>
        <v>241.50000000000003</v>
      </c>
    </row>
    <row r="57" spans="1:11" ht="15.6" x14ac:dyDescent="0.3">
      <c r="A57" s="2"/>
      <c r="B57" s="221" t="s">
        <v>77</v>
      </c>
      <c r="C57" s="200"/>
      <c r="D57" s="203" t="s">
        <v>44</v>
      </c>
      <c r="E57" s="202" t="s">
        <v>43</v>
      </c>
      <c r="F57" s="203" t="s">
        <v>44</v>
      </c>
      <c r="G57" s="310">
        <v>0</v>
      </c>
      <c r="H57" s="204">
        <f>'Year 1'!$H$57</f>
        <v>11</v>
      </c>
      <c r="I57" s="205"/>
      <c r="J57" s="206">
        <f>K57/$D$5</f>
        <v>0</v>
      </c>
      <c r="K57" s="207">
        <f>H57*G57</f>
        <v>0</v>
      </c>
    </row>
    <row r="58" spans="1:11" ht="15.6" x14ac:dyDescent="0.3">
      <c r="A58" s="2"/>
      <c r="B58" s="231" t="s">
        <v>78</v>
      </c>
      <c r="C58" s="232"/>
      <c r="D58" s="233"/>
      <c r="E58" s="233"/>
      <c r="F58" s="233"/>
      <c r="G58" s="233"/>
      <c r="H58" s="233"/>
      <c r="I58" s="235"/>
      <c r="J58" s="235">
        <f>SUM(J20:J57)</f>
        <v>22.707370000000004</v>
      </c>
      <c r="K58" s="236">
        <f>K57+K56+K54+K49+K43+K38+K28+K23</f>
        <v>3179.0317999999997</v>
      </c>
    </row>
    <row r="59" spans="1:11" ht="15.6" x14ac:dyDescent="0.3">
      <c r="A59" s="2"/>
      <c r="B59" s="2"/>
      <c r="C59" s="2"/>
      <c r="D59" s="2"/>
      <c r="E59" s="2"/>
      <c r="F59" s="2"/>
      <c r="G59" s="2"/>
      <c r="H59" s="2"/>
      <c r="I59" s="2"/>
      <c r="J59" s="2"/>
      <c r="K59" s="2"/>
    </row>
    <row r="60" spans="1:11" ht="15.6" x14ac:dyDescent="0.3">
      <c r="A60" s="2"/>
      <c r="B60" s="231" t="s">
        <v>79</v>
      </c>
      <c r="C60" s="232"/>
      <c r="D60" s="233"/>
      <c r="E60" s="233"/>
      <c r="F60" s="233"/>
      <c r="G60" s="233"/>
      <c r="H60" s="233"/>
      <c r="I60" s="235"/>
      <c r="J60" s="235"/>
      <c r="K60" s="237"/>
    </row>
    <row r="61" spans="1:11" ht="15.6" x14ac:dyDescent="0.3">
      <c r="A61" s="2"/>
      <c r="B61" s="181" t="s">
        <v>80</v>
      </c>
      <c r="C61" s="182"/>
      <c r="D61" s="183">
        <v>144</v>
      </c>
      <c r="E61" s="238"/>
      <c r="F61" s="238"/>
      <c r="G61" s="238"/>
      <c r="H61" s="238"/>
      <c r="I61" s="187"/>
      <c r="J61" s="187"/>
      <c r="K61" s="239"/>
    </row>
    <row r="62" spans="1:11" ht="15.6" x14ac:dyDescent="0.3">
      <c r="A62" s="2"/>
      <c r="B62" s="190" t="s">
        <v>81</v>
      </c>
      <c r="C62" s="191"/>
      <c r="D62" s="201">
        <v>99</v>
      </c>
      <c r="E62" s="240"/>
      <c r="F62" s="240"/>
      <c r="G62" s="240"/>
      <c r="H62" s="240"/>
      <c r="I62" s="196"/>
      <c r="J62" s="196"/>
      <c r="K62" s="241"/>
    </row>
    <row r="63" spans="1:11" ht="15.6" x14ac:dyDescent="0.3">
      <c r="A63" s="2"/>
      <c r="B63" s="190" t="s">
        <v>82</v>
      </c>
      <c r="C63" s="191"/>
      <c r="D63" s="194">
        <f>'Price and Yields'!$E$11*'Year 7'!$D$7</f>
        <v>9.6000000000000014</v>
      </c>
      <c r="E63" s="240" t="s">
        <v>83</v>
      </c>
      <c r="F63" s="240"/>
      <c r="G63" s="240"/>
      <c r="H63" s="240"/>
      <c r="I63" s="196"/>
      <c r="J63" s="196"/>
      <c r="K63" s="241"/>
    </row>
    <row r="64" spans="1:11" ht="15.6" x14ac:dyDescent="0.3">
      <c r="A64" s="2"/>
      <c r="B64" s="190" t="s">
        <v>84</v>
      </c>
      <c r="C64" s="191"/>
      <c r="D64" s="194">
        <f>'Price and Yields'!$E$12*'Year 7'!$D$7</f>
        <v>0</v>
      </c>
      <c r="E64" s="240" t="s">
        <v>83</v>
      </c>
      <c r="F64" s="240"/>
      <c r="G64" s="240"/>
      <c r="H64" s="240"/>
      <c r="I64" s="196"/>
      <c r="J64" s="196"/>
      <c r="K64" s="241"/>
    </row>
    <row r="65" spans="1:11" ht="15.6" x14ac:dyDescent="0.3">
      <c r="A65" s="2"/>
      <c r="B65" s="190" t="s">
        <v>85</v>
      </c>
      <c r="C65" s="191"/>
      <c r="D65" s="194">
        <f>'Price and Yields'!$E$13*'Year 7'!$D$7</f>
        <v>2.4000000000000004</v>
      </c>
      <c r="E65" s="240" t="s">
        <v>83</v>
      </c>
      <c r="F65" s="240"/>
      <c r="G65" s="240"/>
      <c r="H65" s="240"/>
      <c r="I65" s="196"/>
      <c r="J65" s="196"/>
      <c r="K65" s="241"/>
    </row>
    <row r="66" spans="1:11" ht="15.6" x14ac:dyDescent="0.3">
      <c r="A66" s="2"/>
      <c r="B66" s="199" t="s">
        <v>86</v>
      </c>
      <c r="C66" s="200"/>
      <c r="D66" s="203">
        <f>'Price and Yields'!E14*'Year 7'!D7</f>
        <v>0</v>
      </c>
      <c r="E66" s="242" t="s">
        <v>83</v>
      </c>
      <c r="F66" s="242"/>
      <c r="G66" s="242"/>
      <c r="H66" s="242"/>
      <c r="I66" s="205"/>
      <c r="J66" s="205"/>
      <c r="K66" s="243"/>
    </row>
    <row r="67" spans="1:11" ht="15.6" x14ac:dyDescent="0.3">
      <c r="A67" s="2"/>
      <c r="B67" s="176"/>
      <c r="C67" s="177"/>
      <c r="D67" s="244"/>
      <c r="E67" s="178"/>
      <c r="F67" s="178"/>
      <c r="G67" s="178"/>
      <c r="H67" s="178"/>
      <c r="I67" s="179"/>
      <c r="J67" s="179"/>
      <c r="K67" s="180"/>
    </row>
    <row r="68" spans="1:11" ht="31.2" x14ac:dyDescent="0.3">
      <c r="A68" s="11"/>
      <c r="B68" s="231" t="s">
        <v>87</v>
      </c>
      <c r="C68" s="14"/>
      <c r="D68" s="173" t="s">
        <v>88</v>
      </c>
      <c r="E68" s="173" t="s">
        <v>89</v>
      </c>
      <c r="F68" s="173" t="s">
        <v>28</v>
      </c>
      <c r="G68" s="173" t="s">
        <v>90</v>
      </c>
      <c r="H68" s="173"/>
      <c r="I68" s="174" t="s">
        <v>29</v>
      </c>
      <c r="J68" s="174" t="s">
        <v>30</v>
      </c>
      <c r="K68" s="175" t="s">
        <v>31</v>
      </c>
    </row>
    <row r="69" spans="1:11" ht="15.6" x14ac:dyDescent="0.3">
      <c r="A69" s="2"/>
      <c r="B69" s="181" t="s">
        <v>91</v>
      </c>
      <c r="C69" s="182"/>
      <c r="D69" s="245">
        <v>60</v>
      </c>
      <c r="E69" s="246">
        <v>6</v>
      </c>
      <c r="F69" s="247">
        <f>($D$63+$D$64+$D$65+$D$66)*$D$5</f>
        <v>1680.0000000000002</v>
      </c>
      <c r="G69" s="248">
        <f>'Farm Parameters'!$D$10</f>
        <v>11</v>
      </c>
      <c r="H69" s="238"/>
      <c r="I69" s="188">
        <f>IF(ISERROR(J69/($D$63+$D$64+$D$65)),0,J69/($D$63+$D$64+$D$65))</f>
        <v>1.0999999999999999</v>
      </c>
      <c r="J69" s="189">
        <f>K69/$D$5</f>
        <v>13.200000000000001</v>
      </c>
      <c r="K69" s="249">
        <f>G69*E69*F69/D69</f>
        <v>1848.0000000000002</v>
      </c>
    </row>
    <row r="70" spans="1:11" ht="15.6" x14ac:dyDescent="0.3">
      <c r="A70" s="2"/>
      <c r="B70" s="190" t="s">
        <v>92</v>
      </c>
      <c r="C70" s="191"/>
      <c r="D70" s="250">
        <v>90</v>
      </c>
      <c r="E70" s="251">
        <v>6</v>
      </c>
      <c r="F70" s="252">
        <f>($D$63+$D$64)*$D$5</f>
        <v>1344.0000000000002</v>
      </c>
      <c r="G70" s="253">
        <f>'Farm Parameters'!$D$10</f>
        <v>11</v>
      </c>
      <c r="H70" s="240"/>
      <c r="I70" s="197">
        <f>IF(ISERROR(J70/($D$63+$D$64)),0,J70/($D$63+$D$64))</f>
        <v>0.73333333333333328</v>
      </c>
      <c r="J70" s="198">
        <f>K70/$D$5</f>
        <v>7.0400000000000009</v>
      </c>
      <c r="K70" s="255">
        <f>G70*E70*F70/D70</f>
        <v>985.60000000000014</v>
      </c>
    </row>
    <row r="71" spans="1:11" ht="15.6" x14ac:dyDescent="0.3">
      <c r="A71" s="2"/>
      <c r="B71" s="190" t="s">
        <v>93</v>
      </c>
      <c r="C71" s="191"/>
      <c r="D71" s="256">
        <v>90</v>
      </c>
      <c r="E71" s="257">
        <v>6</v>
      </c>
      <c r="F71" s="258">
        <f>($D$65)*'Price and Yields'!$E$8/'Price and Yields'!$E$6*$D$5</f>
        <v>193.20000000000005</v>
      </c>
      <c r="G71" s="259">
        <f>'Farm Parameters'!$D$10</f>
        <v>11</v>
      </c>
      <c r="H71" s="240"/>
      <c r="I71" s="197">
        <f>IF(ISERROR(J71/($D$65)),0,J71/($D$65))</f>
        <v>0.42166666666666669</v>
      </c>
      <c r="J71" s="198">
        <f>K71/$D$5</f>
        <v>1.0120000000000002</v>
      </c>
      <c r="K71" s="255">
        <f>G71*E71*F71/D71</f>
        <v>141.68000000000004</v>
      </c>
    </row>
    <row r="72" spans="1:11" ht="15.6" x14ac:dyDescent="0.3">
      <c r="A72" s="2"/>
      <c r="B72" s="190" t="s">
        <v>94</v>
      </c>
      <c r="C72" s="191"/>
      <c r="D72" s="240"/>
      <c r="E72" s="240"/>
      <c r="F72" s="240"/>
      <c r="G72" s="240"/>
      <c r="H72" s="240"/>
      <c r="I72" s="254">
        <f>'Year 1'!$I$72</f>
        <v>1.35E-2</v>
      </c>
      <c r="J72" s="255">
        <f t="shared" ref="J72:J77" si="3">K72/$D$5</f>
        <v>0.16200000000000001</v>
      </c>
      <c r="K72" s="255">
        <f t="shared" ref="K72:K77" si="4">I72*$D$7*$D$5</f>
        <v>22.68</v>
      </c>
    </row>
    <row r="73" spans="1:11" ht="15.6" x14ac:dyDescent="0.3">
      <c r="A73" s="2"/>
      <c r="B73" s="190" t="s">
        <v>95</v>
      </c>
      <c r="C73" s="191"/>
      <c r="D73" s="240"/>
      <c r="E73" s="240"/>
      <c r="F73" s="240"/>
      <c r="G73" s="240"/>
      <c r="H73" s="240"/>
      <c r="I73" s="254">
        <f>'Year 1'!$I$73</f>
        <v>0</v>
      </c>
      <c r="J73" s="255">
        <f t="shared" si="3"/>
        <v>0</v>
      </c>
      <c r="K73" s="255">
        <f t="shared" si="4"/>
        <v>0</v>
      </c>
    </row>
    <row r="74" spans="1:11" ht="15.6" x14ac:dyDescent="0.3">
      <c r="A74" s="2"/>
      <c r="B74" s="190" t="s">
        <v>96</v>
      </c>
      <c r="C74" s="191"/>
      <c r="D74" s="240"/>
      <c r="E74" s="240"/>
      <c r="F74" s="240"/>
      <c r="G74" s="240"/>
      <c r="H74" s="240"/>
      <c r="I74" s="254">
        <f>'Year 1'!$I$74</f>
        <v>1.65</v>
      </c>
      <c r="J74" s="255">
        <f>I74*(D63+D64)</f>
        <v>15.840000000000002</v>
      </c>
      <c r="K74" s="255">
        <f>J74*$D$5</f>
        <v>2217.6000000000004</v>
      </c>
    </row>
    <row r="75" spans="1:11" ht="15.6" x14ac:dyDescent="0.3">
      <c r="A75" s="2"/>
      <c r="B75" s="190" t="s">
        <v>97</v>
      </c>
      <c r="C75" s="191"/>
      <c r="D75" s="240"/>
      <c r="E75" s="240"/>
      <c r="F75" s="240"/>
      <c r="G75" s="240"/>
      <c r="H75" s="240"/>
      <c r="I75" s="254">
        <f>'Year 1'!$I$75</f>
        <v>1.38</v>
      </c>
      <c r="J75" s="255">
        <f>I75*($D$65)*'Price and Yields'!$E$8/'Price and Yields'!$E$6</f>
        <v>1.9044000000000001</v>
      </c>
      <c r="K75" s="255">
        <f>J75*$D$5</f>
        <v>266.61599999999999</v>
      </c>
    </row>
    <row r="76" spans="1:11" ht="15.6" x14ac:dyDescent="0.3">
      <c r="A76" s="2"/>
      <c r="B76" s="190" t="s">
        <v>98</v>
      </c>
      <c r="C76" s="191"/>
      <c r="D76" s="240"/>
      <c r="E76" s="240"/>
      <c r="F76" s="240"/>
      <c r="G76" s="240"/>
      <c r="H76" s="240"/>
      <c r="I76" s="254">
        <f>'Year 1'!$I$76</f>
        <v>0.02</v>
      </c>
      <c r="J76" s="255">
        <f t="shared" si="3"/>
        <v>0.24000000000000002</v>
      </c>
      <c r="K76" s="255">
        <f t="shared" si="4"/>
        <v>33.6</v>
      </c>
    </row>
    <row r="77" spans="1:11" ht="15.6" x14ac:dyDescent="0.3">
      <c r="A77" s="2"/>
      <c r="B77" s="190" t="s">
        <v>99</v>
      </c>
      <c r="C77" s="191"/>
      <c r="D77" s="240"/>
      <c r="E77" s="240"/>
      <c r="F77" s="240"/>
      <c r="G77" s="240"/>
      <c r="H77" s="240"/>
      <c r="I77" s="254">
        <f>'Year 1'!$I$77</f>
        <v>0.05</v>
      </c>
      <c r="J77" s="255">
        <f t="shared" si="3"/>
        <v>0.60000000000000009</v>
      </c>
      <c r="K77" s="255">
        <f t="shared" si="4"/>
        <v>84.000000000000014</v>
      </c>
    </row>
    <row r="78" spans="1:11" ht="15.6" x14ac:dyDescent="0.3">
      <c r="A78" s="2"/>
      <c r="B78" s="190" t="s">
        <v>100</v>
      </c>
      <c r="C78" s="19">
        <v>0.125</v>
      </c>
      <c r="D78" s="240"/>
      <c r="E78" s="240"/>
      <c r="F78" s="240"/>
      <c r="G78" s="240"/>
      <c r="H78" s="240"/>
      <c r="I78" s="197">
        <f>C78*'Price and Yields'!$C$16*'Price and Yields'!$E$8</f>
        <v>1.7868750000000002</v>
      </c>
      <c r="J78" s="198">
        <f>I78*(D63+D64+D65)</f>
        <v>21.442500000000006</v>
      </c>
      <c r="K78" s="255">
        <f>J78*D5</f>
        <v>3001.9500000000007</v>
      </c>
    </row>
    <row r="79" spans="1:11" ht="15.6" x14ac:dyDescent="0.3">
      <c r="A79" s="2"/>
      <c r="B79" s="199" t="s">
        <v>101</v>
      </c>
      <c r="C79" s="6">
        <v>0.31</v>
      </c>
      <c r="D79" s="242"/>
      <c r="E79" s="242"/>
      <c r="F79" s="242"/>
      <c r="G79" s="242"/>
      <c r="H79" s="242"/>
      <c r="I79" s="206">
        <f>C79</f>
        <v>0.31</v>
      </c>
      <c r="J79" s="207">
        <f>I79*(D63+D64)+I79*(D65*'Price and Yields'!$E$8/'Price and Yields'!$E$6)</f>
        <v>3.4038000000000004</v>
      </c>
      <c r="K79" s="260">
        <f>J79*D5</f>
        <v>476.53200000000004</v>
      </c>
    </row>
    <row r="80" spans="1:11" ht="15.6" x14ac:dyDescent="0.3">
      <c r="A80" s="11"/>
      <c r="B80" s="261" t="s">
        <v>102</v>
      </c>
      <c r="C80" s="262"/>
      <c r="D80" s="263" t="s">
        <v>103</v>
      </c>
      <c r="E80" s="263"/>
      <c r="F80" s="263"/>
      <c r="G80" s="263"/>
      <c r="H80" s="263"/>
      <c r="I80" s="264"/>
      <c r="J80" s="264"/>
      <c r="K80" s="265"/>
    </row>
    <row r="81" spans="1:11" ht="15.6" x14ac:dyDescent="0.3">
      <c r="A81" s="2"/>
      <c r="B81" s="181" t="s">
        <v>104</v>
      </c>
      <c r="C81" s="182"/>
      <c r="D81" s="266">
        <v>145</v>
      </c>
      <c r="E81" s="238"/>
      <c r="F81" s="238"/>
      <c r="G81" s="238"/>
      <c r="H81" s="238"/>
      <c r="I81" s="188">
        <f>D81/$D$61</f>
        <v>1.0069444444444444</v>
      </c>
      <c r="J81" s="189">
        <f>I81*($D$63)</f>
        <v>9.6666666666666679</v>
      </c>
      <c r="K81" s="249">
        <f>J81*$D$5</f>
        <v>1353.3333333333335</v>
      </c>
    </row>
    <row r="82" spans="1:11" ht="15.6" x14ac:dyDescent="0.3">
      <c r="A82" s="2"/>
      <c r="B82" s="190" t="s">
        <v>105</v>
      </c>
      <c r="C82" s="191"/>
      <c r="D82" s="267">
        <v>145</v>
      </c>
      <c r="E82" s="240"/>
      <c r="F82" s="240"/>
      <c r="G82" s="240"/>
      <c r="H82" s="240"/>
      <c r="I82" s="197">
        <f>D82/D61</f>
        <v>1.0069444444444444</v>
      </c>
      <c r="J82" s="198">
        <f>I82*($D$64)</f>
        <v>0</v>
      </c>
      <c r="K82" s="255">
        <f>J82*$D$5</f>
        <v>0</v>
      </c>
    </row>
    <row r="83" spans="1:11" ht="15.6" x14ac:dyDescent="0.3">
      <c r="A83" s="2"/>
      <c r="B83" s="199" t="s">
        <v>106</v>
      </c>
      <c r="C83" s="200"/>
      <c r="D83" s="268">
        <v>145</v>
      </c>
      <c r="E83" s="242"/>
      <c r="F83" s="242"/>
      <c r="G83" s="242"/>
      <c r="H83" s="242"/>
      <c r="I83" s="206">
        <f>D83/$D$62</f>
        <v>1.4646464646464648</v>
      </c>
      <c r="J83" s="207">
        <f>I83*($D$65)*'Price and Yields'!$E$8/'Price and Yields'!$E$6</f>
        <v>2.0212121212121219</v>
      </c>
      <c r="K83" s="260">
        <f>J83*$D$5</f>
        <v>282.96969696969705</v>
      </c>
    </row>
    <row r="84" spans="1:11" ht="15.6" x14ac:dyDescent="0.3">
      <c r="A84" s="2"/>
      <c r="B84" s="231" t="s">
        <v>107</v>
      </c>
      <c r="C84" s="232"/>
      <c r="D84" s="233"/>
      <c r="E84" s="233"/>
      <c r="F84" s="233"/>
      <c r="G84" s="233"/>
      <c r="H84" s="233"/>
      <c r="I84" s="235">
        <f>SUM(I69:I83)</f>
        <v>10.943910353535353</v>
      </c>
      <c r="J84" s="235">
        <f>SUM(J69:J83)</f>
        <v>76.532578787878805</v>
      </c>
      <c r="K84" s="237">
        <f>SUM(K69:K83)</f>
        <v>10714.561030303033</v>
      </c>
    </row>
    <row r="85" spans="1:11" ht="15.6" x14ac:dyDescent="0.3">
      <c r="A85" s="2"/>
      <c r="B85" s="2"/>
      <c r="C85" s="162"/>
      <c r="D85" s="162"/>
      <c r="E85" s="162"/>
      <c r="F85" s="162"/>
      <c r="G85" s="162"/>
      <c r="H85" s="162"/>
      <c r="I85" s="164"/>
      <c r="J85" s="164"/>
      <c r="K85" s="164"/>
    </row>
    <row r="86" spans="1:11" ht="15.6" x14ac:dyDescent="0.3">
      <c r="A86" s="2"/>
      <c r="B86" s="231" t="s">
        <v>108</v>
      </c>
      <c r="C86" s="232"/>
      <c r="D86" s="233"/>
      <c r="E86" s="233"/>
      <c r="F86" s="233"/>
      <c r="G86" s="233"/>
      <c r="H86" s="233"/>
      <c r="I86" s="235"/>
      <c r="J86" s="235">
        <f>J84+J58</f>
        <v>99.239948787878802</v>
      </c>
      <c r="K86" s="237">
        <f>K84+K58</f>
        <v>13893.592830303034</v>
      </c>
    </row>
    <row r="87" spans="1:11" ht="15.6" x14ac:dyDescent="0.3">
      <c r="A87" s="2"/>
      <c r="B87" s="269" t="s">
        <v>109</v>
      </c>
      <c r="C87" s="270"/>
      <c r="D87" s="234"/>
      <c r="E87" s="234"/>
      <c r="F87" s="234"/>
      <c r="G87" s="234"/>
      <c r="H87" s="234"/>
      <c r="I87" s="271"/>
      <c r="J87" s="271">
        <f>J14-J86</f>
        <v>72.300051212121218</v>
      </c>
      <c r="K87" s="272">
        <f>K14-K86</f>
        <v>10122.007169696968</v>
      </c>
    </row>
    <row r="88" spans="1:11" ht="15.6" x14ac:dyDescent="0.3">
      <c r="A88" s="2"/>
      <c r="B88" s="2"/>
      <c r="C88" s="162"/>
      <c r="D88" s="273"/>
      <c r="E88" s="273"/>
      <c r="F88" s="273"/>
      <c r="G88" s="273"/>
      <c r="H88" s="273"/>
      <c r="I88" s="164"/>
      <c r="J88" s="164"/>
      <c r="K88" s="164"/>
    </row>
    <row r="89" spans="1:11" ht="15.6" x14ac:dyDescent="0.3">
      <c r="A89" s="2"/>
      <c r="B89" s="2" t="s">
        <v>110</v>
      </c>
      <c r="C89" s="162"/>
      <c r="D89" s="273"/>
      <c r="E89" s="273"/>
      <c r="F89" s="273"/>
      <c r="G89" s="273"/>
      <c r="H89" s="273"/>
      <c r="I89" s="164"/>
      <c r="J89" s="164"/>
      <c r="K89" s="164"/>
    </row>
    <row r="90" spans="1:11" ht="15.6" x14ac:dyDescent="0.3">
      <c r="A90" s="2"/>
      <c r="B90" s="2" t="s">
        <v>111</v>
      </c>
      <c r="C90" s="162"/>
      <c r="D90" s="162"/>
      <c r="E90" s="162"/>
      <c r="F90" s="162"/>
      <c r="G90" s="162"/>
      <c r="H90" s="162"/>
      <c r="I90" s="164"/>
      <c r="J90" s="164"/>
      <c r="K90" s="164"/>
    </row>
  </sheetData>
  <sheetProtection password="8D83" sheet="1" objects="1" scenarios="1"/>
  <phoneticPr fontId="5"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showRowColHeaders="0" zoomScale="75" workbookViewId="0">
      <selection activeCell="Y29" sqref="Y29"/>
    </sheetView>
  </sheetViews>
  <sheetFormatPr defaultRowHeight="13.2" x14ac:dyDescent="0.25"/>
  <cols>
    <col min="2" max="2" width="28.109375" customWidth="1"/>
    <col min="3" max="3" width="25" customWidth="1"/>
    <col min="4" max="11" width="16.44140625" customWidth="1"/>
  </cols>
  <sheetData>
    <row r="1" spans="1:11" ht="24.6" x14ac:dyDescent="0.4">
      <c r="A1" s="161" t="s">
        <v>118</v>
      </c>
      <c r="B1" s="2"/>
      <c r="C1" s="162"/>
      <c r="D1" s="163"/>
      <c r="E1" s="162"/>
      <c r="F1" s="162"/>
      <c r="G1" s="162"/>
      <c r="H1" s="162"/>
      <c r="I1" s="164"/>
      <c r="J1" s="164"/>
      <c r="K1" s="164"/>
    </row>
    <row r="2" spans="1:11" ht="15.6" x14ac:dyDescent="0.3">
      <c r="A2" s="2"/>
      <c r="B2" s="2"/>
      <c r="C2" s="162"/>
      <c r="D2" s="162"/>
      <c r="E2" s="162"/>
      <c r="F2" s="162"/>
      <c r="G2" s="162"/>
      <c r="H2" s="162"/>
      <c r="I2" s="164"/>
      <c r="J2" s="164"/>
      <c r="K2" s="164"/>
    </row>
    <row r="3" spans="1:11" ht="17.399999999999999" x14ac:dyDescent="0.3">
      <c r="A3" s="7" t="s">
        <v>22</v>
      </c>
      <c r="B3" s="2"/>
      <c r="C3" s="162"/>
      <c r="D3" s="162"/>
      <c r="E3" s="162"/>
      <c r="F3" s="162"/>
      <c r="G3" s="162"/>
      <c r="H3" s="162"/>
      <c r="I3" s="164"/>
      <c r="J3" s="164"/>
      <c r="K3" s="164"/>
    </row>
    <row r="4" spans="1:11" ht="17.399999999999999" x14ac:dyDescent="0.3">
      <c r="A4" s="7"/>
      <c r="B4" s="2"/>
      <c r="C4" s="162"/>
      <c r="D4" s="162"/>
      <c r="E4" s="162"/>
      <c r="F4" s="162"/>
      <c r="G4" s="162"/>
      <c r="H4" s="162"/>
      <c r="I4" s="164"/>
      <c r="J4" s="164"/>
      <c r="K4" s="164"/>
    </row>
    <row r="5" spans="1:11" ht="15.6" x14ac:dyDescent="0.3">
      <c r="A5" s="2"/>
      <c r="B5" s="2" t="s">
        <v>23</v>
      </c>
      <c r="C5" s="162"/>
      <c r="D5" s="165">
        <f>'Farm Parameters'!D6</f>
        <v>140</v>
      </c>
      <c r="E5" s="162"/>
      <c r="F5" s="162"/>
      <c r="G5" s="162"/>
      <c r="H5" s="162"/>
      <c r="I5" s="164"/>
      <c r="J5" s="164"/>
      <c r="K5" s="164"/>
    </row>
    <row r="6" spans="1:11" ht="6" customHeight="1" x14ac:dyDescent="0.3">
      <c r="A6" s="2"/>
      <c r="B6" s="2"/>
      <c r="C6" s="162"/>
      <c r="D6" s="166"/>
      <c r="E6" s="162"/>
      <c r="F6" s="162"/>
      <c r="G6" s="162"/>
      <c r="H6" s="162"/>
      <c r="I6" s="164"/>
      <c r="J6" s="164"/>
      <c r="K6" s="164"/>
    </row>
    <row r="7" spans="1:11" ht="15.6" x14ac:dyDescent="0.3">
      <c r="A7" s="2"/>
      <c r="B7" s="2" t="s">
        <v>24</v>
      </c>
      <c r="C7" s="162"/>
      <c r="D7" s="167">
        <f>'Price and Yields'!C28</f>
        <v>14</v>
      </c>
      <c r="E7" s="162"/>
      <c r="F7" s="162"/>
      <c r="G7" s="162"/>
      <c r="H7" s="162"/>
      <c r="I7" s="164"/>
      <c r="J7" s="164"/>
      <c r="K7" s="164"/>
    </row>
    <row r="8" spans="1:11" ht="6" customHeight="1" x14ac:dyDescent="0.3">
      <c r="A8" s="2"/>
      <c r="B8" s="2"/>
      <c r="C8" s="162"/>
      <c r="D8" s="162"/>
      <c r="E8" s="162"/>
      <c r="F8" s="162"/>
      <c r="G8" s="162"/>
      <c r="H8" s="162"/>
      <c r="I8" s="164"/>
      <c r="J8" s="164"/>
      <c r="K8" s="164"/>
    </row>
    <row r="9" spans="1:11" ht="15.6" x14ac:dyDescent="0.3">
      <c r="A9" s="2"/>
      <c r="B9" s="2" t="s">
        <v>25</v>
      </c>
      <c r="C9" s="162"/>
      <c r="D9" s="20">
        <f>'Price and Yields'!$C$16</f>
        <v>2.4860869565217394</v>
      </c>
      <c r="E9" s="162"/>
      <c r="F9" s="162"/>
      <c r="G9" s="162"/>
      <c r="H9" s="162"/>
      <c r="I9" s="164"/>
      <c r="J9" s="164"/>
      <c r="K9" s="164"/>
    </row>
    <row r="10" spans="1:11" ht="6" customHeight="1" x14ac:dyDescent="0.3">
      <c r="A10" s="2"/>
      <c r="B10" s="2"/>
      <c r="C10" s="162"/>
      <c r="D10" s="164"/>
      <c r="E10" s="162"/>
      <c r="F10" s="162"/>
      <c r="G10" s="162"/>
      <c r="H10" s="162"/>
      <c r="I10" s="164"/>
      <c r="J10" s="164"/>
      <c r="K10" s="164"/>
    </row>
    <row r="11" spans="1:11" ht="15.6" x14ac:dyDescent="0.3">
      <c r="A11" s="2"/>
      <c r="B11" s="2" t="s">
        <v>26</v>
      </c>
      <c r="C11" s="162"/>
      <c r="D11" s="5">
        <v>1000</v>
      </c>
      <c r="E11" s="162"/>
      <c r="F11" s="162"/>
      <c r="G11" s="162"/>
      <c r="H11" s="162"/>
      <c r="I11" s="164"/>
      <c r="J11" s="164"/>
      <c r="K11" s="164"/>
    </row>
    <row r="12" spans="1:11" ht="15.6" x14ac:dyDescent="0.3">
      <c r="A12" s="2"/>
      <c r="B12" s="2"/>
      <c r="C12" s="162"/>
      <c r="D12" s="168"/>
      <c r="E12" s="162"/>
      <c r="F12" s="162"/>
      <c r="G12" s="162"/>
      <c r="H12" s="162"/>
      <c r="I12" s="164"/>
      <c r="J12" s="164"/>
      <c r="K12" s="164"/>
    </row>
    <row r="13" spans="1:11" ht="17.399999999999999" x14ac:dyDescent="0.3">
      <c r="A13" s="7" t="s">
        <v>27</v>
      </c>
      <c r="B13" s="11"/>
      <c r="C13" s="162"/>
      <c r="D13" s="169"/>
      <c r="E13" s="169"/>
      <c r="F13" s="169"/>
      <c r="G13" s="162"/>
      <c r="H13" s="169" t="s">
        <v>28</v>
      </c>
      <c r="I13" s="170" t="s">
        <v>29</v>
      </c>
      <c r="J13" s="170" t="s">
        <v>30</v>
      </c>
      <c r="K13" s="170" t="s">
        <v>31</v>
      </c>
    </row>
    <row r="14" spans="1:11" ht="17.399999999999999" x14ac:dyDescent="0.3">
      <c r="A14" s="7"/>
      <c r="B14" s="11" t="s">
        <v>33</v>
      </c>
      <c r="C14" s="169"/>
      <c r="D14" s="162"/>
      <c r="E14" s="162"/>
      <c r="F14" s="162"/>
      <c r="G14" s="162"/>
      <c r="H14" s="171">
        <f>D7*D5</f>
        <v>1960</v>
      </c>
      <c r="I14" s="22">
        <f>IF(ISERROR(J14/D7),0,J14/D7)</f>
        <v>14.295000000000002</v>
      </c>
      <c r="J14" s="22">
        <f>K14/D5</f>
        <v>200.13000000000002</v>
      </c>
      <c r="K14" s="22">
        <f>H14*D9*'Price and Yields'!$E$8</f>
        <v>28018.200000000004</v>
      </c>
    </row>
    <row r="15" spans="1:11" ht="15.6" x14ac:dyDescent="0.3">
      <c r="A15" s="2"/>
      <c r="B15" s="2"/>
      <c r="C15" s="162"/>
      <c r="D15" s="162"/>
      <c r="E15" s="162"/>
      <c r="F15" s="162"/>
      <c r="G15" s="162"/>
      <c r="H15" s="162"/>
      <c r="I15" s="164"/>
      <c r="J15" s="164"/>
      <c r="K15" s="164"/>
    </row>
    <row r="16" spans="1:11" ht="17.399999999999999" x14ac:dyDescent="0.3">
      <c r="A16" s="172" t="s">
        <v>34</v>
      </c>
      <c r="B16" s="2"/>
      <c r="C16" s="162"/>
      <c r="D16" s="162"/>
      <c r="E16" s="162"/>
      <c r="F16" s="162"/>
      <c r="G16" s="162"/>
      <c r="H16" s="162"/>
      <c r="I16" s="164"/>
      <c r="J16" s="164"/>
      <c r="K16" s="164"/>
    </row>
    <row r="17" spans="1:11" ht="6" customHeight="1" x14ac:dyDescent="0.3">
      <c r="A17" s="172"/>
      <c r="B17" s="2"/>
      <c r="C17" s="162"/>
      <c r="D17" s="162"/>
      <c r="E17" s="162"/>
      <c r="F17" s="162"/>
      <c r="G17" s="162"/>
      <c r="H17" s="162"/>
      <c r="I17" s="164"/>
      <c r="J17" s="164"/>
      <c r="K17" s="164"/>
    </row>
    <row r="18" spans="1:11" ht="15.6" x14ac:dyDescent="0.3">
      <c r="A18" s="11"/>
      <c r="B18" s="12" t="s">
        <v>35</v>
      </c>
      <c r="C18" s="14"/>
      <c r="D18" s="173" t="s">
        <v>36</v>
      </c>
      <c r="E18" s="173" t="s">
        <v>37</v>
      </c>
      <c r="F18" s="173" t="s">
        <v>38</v>
      </c>
      <c r="G18" s="173" t="s">
        <v>39</v>
      </c>
      <c r="H18" s="173" t="s">
        <v>40</v>
      </c>
      <c r="I18" s="174"/>
      <c r="J18" s="174" t="s">
        <v>30</v>
      </c>
      <c r="K18" s="175" t="s">
        <v>31</v>
      </c>
    </row>
    <row r="19" spans="1:11" ht="15.6" x14ac:dyDescent="0.3">
      <c r="A19" s="2"/>
      <c r="B19" s="176" t="s">
        <v>41</v>
      </c>
      <c r="C19" s="177"/>
      <c r="D19" s="178"/>
      <c r="E19" s="178"/>
      <c r="F19" s="178"/>
      <c r="G19" s="178"/>
      <c r="H19" s="178"/>
      <c r="I19" s="179"/>
      <c r="J19" s="179"/>
      <c r="K19" s="180"/>
    </row>
    <row r="20" spans="1:11" ht="15.6" x14ac:dyDescent="0.3">
      <c r="A20" s="2"/>
      <c r="B20" s="181" t="s">
        <v>42</v>
      </c>
      <c r="C20" s="182"/>
      <c r="D20" s="183">
        <v>5</v>
      </c>
      <c r="E20" s="184" t="s">
        <v>43</v>
      </c>
      <c r="F20" s="185" t="s">
        <v>44</v>
      </c>
      <c r="G20" s="183">
        <v>1</v>
      </c>
      <c r="H20" s="186">
        <f>'Year 1'!$H$20</f>
        <v>1.65</v>
      </c>
      <c r="I20" s="187"/>
      <c r="J20" s="188">
        <f>K20/$D$5</f>
        <v>5.8928571428571427E-2</v>
      </c>
      <c r="K20" s="189">
        <f>H20*G20*D20</f>
        <v>8.25</v>
      </c>
    </row>
    <row r="21" spans="1:11" ht="15.6" x14ac:dyDescent="0.3">
      <c r="A21" s="2"/>
      <c r="B21" s="190" t="s">
        <v>45</v>
      </c>
      <c r="C21" s="191"/>
      <c r="D21" s="192">
        <v>18</v>
      </c>
      <c r="E21" s="193" t="s">
        <v>43</v>
      </c>
      <c r="F21" s="194" t="s">
        <v>44</v>
      </c>
      <c r="G21" s="192">
        <v>0.4</v>
      </c>
      <c r="H21" s="195">
        <f>'Year 1'!$H$21</f>
        <v>3</v>
      </c>
      <c r="I21" s="196"/>
      <c r="J21" s="197">
        <f>K21/$D$5</f>
        <v>0.1542857142857143</v>
      </c>
      <c r="K21" s="198">
        <f>H21*G21*D21</f>
        <v>21.6</v>
      </c>
    </row>
    <row r="22" spans="1:11" ht="15.6" x14ac:dyDescent="0.3">
      <c r="A22" s="2"/>
      <c r="B22" s="199" t="s">
        <v>46</v>
      </c>
      <c r="C22" s="200"/>
      <c r="D22" s="201">
        <v>5</v>
      </c>
      <c r="E22" s="202" t="s">
        <v>43</v>
      </c>
      <c r="F22" s="203" t="s">
        <v>44</v>
      </c>
      <c r="G22" s="201">
        <v>0.4</v>
      </c>
      <c r="H22" s="204">
        <f>'Year 1'!$H$22</f>
        <v>1.65</v>
      </c>
      <c r="I22" s="205"/>
      <c r="J22" s="206">
        <f>K22/$D$5</f>
        <v>2.3571428571428573E-2</v>
      </c>
      <c r="K22" s="207">
        <f>H22*G22*D22</f>
        <v>3.3000000000000003</v>
      </c>
    </row>
    <row r="23" spans="1:11" ht="15.6" x14ac:dyDescent="0.3">
      <c r="A23" s="2"/>
      <c r="B23" s="21" t="s">
        <v>47</v>
      </c>
      <c r="C23" s="208"/>
      <c r="D23" s="209"/>
      <c r="E23" s="209"/>
      <c r="F23" s="209"/>
      <c r="G23" s="209"/>
      <c r="H23" s="210"/>
      <c r="I23" s="23"/>
      <c r="J23" s="23"/>
      <c r="K23" s="211">
        <f>SUM(K20:K22)</f>
        <v>33.15</v>
      </c>
    </row>
    <row r="24" spans="1:11" ht="15.6" x14ac:dyDescent="0.3">
      <c r="A24" s="2"/>
      <c r="B24" s="176" t="s">
        <v>48</v>
      </c>
      <c r="C24" s="177"/>
      <c r="D24" s="178"/>
      <c r="E24" s="178"/>
      <c r="F24" s="178"/>
      <c r="G24" s="178"/>
      <c r="H24" s="212"/>
      <c r="I24" s="179"/>
      <c r="J24" s="179"/>
      <c r="K24" s="180"/>
    </row>
    <row r="25" spans="1:11" ht="15.6" x14ac:dyDescent="0.3">
      <c r="A25" s="2"/>
      <c r="B25" s="181" t="s">
        <v>49</v>
      </c>
      <c r="C25" s="182"/>
      <c r="D25" s="183">
        <v>2</v>
      </c>
      <c r="E25" s="184" t="s">
        <v>43</v>
      </c>
      <c r="F25" s="183">
        <v>0.06</v>
      </c>
      <c r="G25" s="213">
        <f>F25*$D$5</f>
        <v>8.4</v>
      </c>
      <c r="H25" s="186">
        <f>'Farm Parameters'!$D$10</f>
        <v>11</v>
      </c>
      <c r="I25" s="187"/>
      <c r="J25" s="188">
        <f>K25/$D$5</f>
        <v>1.32</v>
      </c>
      <c r="K25" s="189">
        <f>H25*G25*D25</f>
        <v>184.8</v>
      </c>
    </row>
    <row r="26" spans="1:11" ht="15.6" x14ac:dyDescent="0.3">
      <c r="A26" s="2"/>
      <c r="B26" s="190" t="s">
        <v>50</v>
      </c>
      <c r="C26" s="191"/>
      <c r="D26" s="192">
        <v>1</v>
      </c>
      <c r="E26" s="193" t="s">
        <v>43</v>
      </c>
      <c r="F26" s="192">
        <v>0.2</v>
      </c>
      <c r="G26" s="214">
        <f>F26*$D$5</f>
        <v>28</v>
      </c>
      <c r="H26" s="195">
        <f>H25</f>
        <v>11</v>
      </c>
      <c r="I26" s="196"/>
      <c r="J26" s="197">
        <f>K26/$D$5</f>
        <v>2.2000000000000002</v>
      </c>
      <c r="K26" s="198">
        <f>H26*G26*D26</f>
        <v>308</v>
      </c>
    </row>
    <row r="27" spans="1:11" ht="15.6" x14ac:dyDescent="0.3">
      <c r="A27" s="2"/>
      <c r="B27" s="199" t="s">
        <v>51</v>
      </c>
      <c r="C27" s="200"/>
      <c r="D27" s="201">
        <v>1</v>
      </c>
      <c r="E27" s="202" t="s">
        <v>43</v>
      </c>
      <c r="F27" s="201">
        <v>0.25</v>
      </c>
      <c r="G27" s="215">
        <f>F27*$D$5</f>
        <v>35</v>
      </c>
      <c r="H27" s="204">
        <f>H25</f>
        <v>11</v>
      </c>
      <c r="I27" s="205"/>
      <c r="J27" s="206">
        <f>K27/$D$5</f>
        <v>2.75</v>
      </c>
      <c r="K27" s="207">
        <f>H27*G27*D27</f>
        <v>385</v>
      </c>
    </row>
    <row r="28" spans="1:11" ht="15.6" x14ac:dyDescent="0.3">
      <c r="A28" s="2"/>
      <c r="B28" s="21" t="s">
        <v>47</v>
      </c>
      <c r="C28" s="208"/>
      <c r="D28" s="209"/>
      <c r="E28" s="209"/>
      <c r="F28" s="209"/>
      <c r="G28" s="209"/>
      <c r="H28" s="210"/>
      <c r="I28" s="23"/>
      <c r="J28" s="23"/>
      <c r="K28" s="211">
        <f>SUM(K25:K27)</f>
        <v>877.8</v>
      </c>
    </row>
    <row r="29" spans="1:11" ht="15.6" x14ac:dyDescent="0.3">
      <c r="A29" s="2"/>
      <c r="B29" s="176" t="s">
        <v>46</v>
      </c>
      <c r="C29" s="177"/>
      <c r="D29" s="178"/>
      <c r="E29" s="178"/>
      <c r="F29" s="178"/>
      <c r="G29" s="178"/>
      <c r="H29" s="216"/>
      <c r="I29" s="179"/>
      <c r="J29" s="179"/>
      <c r="K29" s="180"/>
    </row>
    <row r="30" spans="1:11" ht="15.6" x14ac:dyDescent="0.3">
      <c r="A30" s="2"/>
      <c r="B30" s="181" t="s">
        <v>52</v>
      </c>
      <c r="C30" s="182"/>
      <c r="D30" s="183">
        <v>0</v>
      </c>
      <c r="E30" s="184" t="s">
        <v>53</v>
      </c>
      <c r="F30" s="183">
        <v>0.2</v>
      </c>
      <c r="G30" s="185">
        <f>F30*$D$5</f>
        <v>28</v>
      </c>
      <c r="H30" s="186">
        <f>'Year 1'!$H$30</f>
        <v>0.47</v>
      </c>
      <c r="I30" s="187"/>
      <c r="J30" s="189">
        <f t="shared" ref="J30:J37" si="0">K30/$D$5</f>
        <v>0</v>
      </c>
      <c r="K30" s="189">
        <f t="shared" ref="K30:K37" si="1">H30*G30*D30</f>
        <v>0</v>
      </c>
    </row>
    <row r="31" spans="1:11" ht="15.6" x14ac:dyDescent="0.3">
      <c r="A31" s="2"/>
      <c r="B31" s="190" t="s">
        <v>54</v>
      </c>
      <c r="C31" s="191"/>
      <c r="D31" s="192">
        <v>3</v>
      </c>
      <c r="E31" s="193" t="s">
        <v>53</v>
      </c>
      <c r="F31" s="192">
        <v>1.6</v>
      </c>
      <c r="G31" s="194">
        <f t="shared" ref="G31:G37" si="2">F31*$D$5</f>
        <v>224</v>
      </c>
      <c r="H31" s="195">
        <f>'Year 1'!$H$31</f>
        <v>0.53</v>
      </c>
      <c r="I31" s="196"/>
      <c r="J31" s="198">
        <f t="shared" si="0"/>
        <v>2.5439999999999996</v>
      </c>
      <c r="K31" s="198">
        <f t="shared" si="1"/>
        <v>356.15999999999997</v>
      </c>
    </row>
    <row r="32" spans="1:11" ht="15.6" x14ac:dyDescent="0.3">
      <c r="A32" s="2"/>
      <c r="B32" s="190" t="s">
        <v>55</v>
      </c>
      <c r="C32" s="191"/>
      <c r="D32" s="192">
        <v>0</v>
      </c>
      <c r="E32" s="193" t="s">
        <v>56</v>
      </c>
      <c r="F32" s="192">
        <v>0.35</v>
      </c>
      <c r="G32" s="194">
        <f t="shared" si="2"/>
        <v>49</v>
      </c>
      <c r="H32" s="195">
        <f>'Year 1'!$H$32</f>
        <v>3.0000000000000001E-3</v>
      </c>
      <c r="I32" s="196"/>
      <c r="J32" s="198">
        <f t="shared" si="0"/>
        <v>0</v>
      </c>
      <c r="K32" s="198">
        <f t="shared" si="1"/>
        <v>0</v>
      </c>
    </row>
    <row r="33" spans="1:11" ht="15.6" x14ac:dyDescent="0.3">
      <c r="A33" s="2"/>
      <c r="B33" s="190" t="s">
        <v>57</v>
      </c>
      <c r="C33" s="191"/>
      <c r="D33" s="192">
        <v>0</v>
      </c>
      <c r="E33" s="193" t="s">
        <v>58</v>
      </c>
      <c r="F33" s="192">
        <v>0.8</v>
      </c>
      <c r="G33" s="194">
        <f t="shared" si="2"/>
        <v>112</v>
      </c>
      <c r="H33" s="195">
        <f>'Year 1'!$H$33</f>
        <v>1.5</v>
      </c>
      <c r="I33" s="196"/>
      <c r="J33" s="198">
        <f t="shared" si="0"/>
        <v>0</v>
      </c>
      <c r="K33" s="198">
        <f t="shared" si="1"/>
        <v>0</v>
      </c>
    </row>
    <row r="34" spans="1:11" ht="15.6" x14ac:dyDescent="0.3">
      <c r="A34" s="2"/>
      <c r="B34" s="190" t="s">
        <v>59</v>
      </c>
      <c r="C34" s="191"/>
      <c r="D34" s="192">
        <v>1</v>
      </c>
      <c r="E34" s="193" t="s">
        <v>53</v>
      </c>
      <c r="F34" s="192">
        <v>0.2</v>
      </c>
      <c r="G34" s="194">
        <f t="shared" si="2"/>
        <v>28</v>
      </c>
      <c r="H34" s="195">
        <f>'Year 1'!$H$34</f>
        <v>0.88</v>
      </c>
      <c r="I34" s="196"/>
      <c r="J34" s="198">
        <f t="shared" si="0"/>
        <v>0.17600000000000002</v>
      </c>
      <c r="K34" s="198">
        <f t="shared" si="1"/>
        <v>24.64</v>
      </c>
    </row>
    <row r="35" spans="1:11" ht="15.6" x14ac:dyDescent="0.3">
      <c r="A35" s="2"/>
      <c r="B35" s="190" t="s">
        <v>60</v>
      </c>
      <c r="C35" s="191"/>
      <c r="D35" s="192">
        <v>1</v>
      </c>
      <c r="E35" s="193" t="s">
        <v>53</v>
      </c>
      <c r="F35" s="192">
        <v>0.5</v>
      </c>
      <c r="G35" s="194">
        <f t="shared" si="2"/>
        <v>70</v>
      </c>
      <c r="H35" s="195">
        <f>'Year 1'!$H$35</f>
        <v>1</v>
      </c>
      <c r="I35" s="196"/>
      <c r="J35" s="198">
        <f t="shared" si="0"/>
        <v>0.5</v>
      </c>
      <c r="K35" s="198">
        <f t="shared" si="1"/>
        <v>70</v>
      </c>
    </row>
    <row r="36" spans="1:11" ht="15.6" x14ac:dyDescent="0.3">
      <c r="A36" s="2"/>
      <c r="B36" s="190" t="s">
        <v>61</v>
      </c>
      <c r="C36" s="191"/>
      <c r="D36" s="192">
        <v>3</v>
      </c>
      <c r="E36" s="193" t="s">
        <v>53</v>
      </c>
      <c r="F36" s="192">
        <v>0.15</v>
      </c>
      <c r="G36" s="194">
        <f t="shared" si="2"/>
        <v>21</v>
      </c>
      <c r="H36" s="195">
        <f>'Year 1'!$H$36</f>
        <v>2.7792000000000003</v>
      </c>
      <c r="I36" s="196"/>
      <c r="J36" s="198">
        <f t="shared" si="0"/>
        <v>1.2506400000000002</v>
      </c>
      <c r="K36" s="198">
        <f t="shared" si="1"/>
        <v>175.08960000000002</v>
      </c>
    </row>
    <row r="37" spans="1:11" ht="15.6" x14ac:dyDescent="0.3">
      <c r="A37" s="2"/>
      <c r="B37" s="199" t="s">
        <v>62</v>
      </c>
      <c r="C37" s="200"/>
      <c r="D37" s="201">
        <v>1</v>
      </c>
      <c r="E37" s="193" t="s">
        <v>53</v>
      </c>
      <c r="F37" s="201">
        <v>2</v>
      </c>
      <c r="G37" s="203">
        <f t="shared" si="2"/>
        <v>280</v>
      </c>
      <c r="H37" s="204">
        <f>'Year 1'!$H$37</f>
        <v>0.14000000000000001</v>
      </c>
      <c r="I37" s="205"/>
      <c r="J37" s="207">
        <f t="shared" si="0"/>
        <v>0.28000000000000003</v>
      </c>
      <c r="K37" s="207">
        <f t="shared" si="1"/>
        <v>39.200000000000003</v>
      </c>
    </row>
    <row r="38" spans="1:11" ht="15.6" x14ac:dyDescent="0.3">
      <c r="A38" s="2"/>
      <c r="B38" s="21" t="s">
        <v>47</v>
      </c>
      <c r="C38" s="208"/>
      <c r="D38" s="209"/>
      <c r="E38" s="209"/>
      <c r="F38" s="209"/>
      <c r="G38" s="209"/>
      <c r="H38" s="217"/>
      <c r="I38" s="23"/>
      <c r="J38" s="23"/>
      <c r="K38" s="211">
        <f>SUM(K30:K37)</f>
        <v>665.08960000000002</v>
      </c>
    </row>
    <row r="39" spans="1:11" ht="15.6" x14ac:dyDescent="0.3">
      <c r="A39" s="2"/>
      <c r="B39" s="176" t="s">
        <v>63</v>
      </c>
      <c r="C39" s="177"/>
      <c r="D39" s="178"/>
      <c r="E39" s="178"/>
      <c r="F39" s="178"/>
      <c r="G39" s="178"/>
      <c r="H39" s="216"/>
      <c r="I39" s="179"/>
      <c r="J39" s="179"/>
      <c r="K39" s="180"/>
    </row>
    <row r="40" spans="1:11" ht="15.6" x14ac:dyDescent="0.3">
      <c r="A40" s="2"/>
      <c r="B40" s="181" t="s">
        <v>64</v>
      </c>
      <c r="C40" s="182"/>
      <c r="D40" s="183">
        <v>5</v>
      </c>
      <c r="E40" s="184" t="s">
        <v>56</v>
      </c>
      <c r="F40" s="218">
        <v>8.0000000000000002E-3</v>
      </c>
      <c r="G40" s="213">
        <f>F40*$D$5</f>
        <v>1.1200000000000001</v>
      </c>
      <c r="H40" s="186">
        <f>'Year 1'!$H$40</f>
        <v>9.75</v>
      </c>
      <c r="I40" s="187"/>
      <c r="J40" s="188">
        <f>K40/$D$5</f>
        <v>0.39000000000000007</v>
      </c>
      <c r="K40" s="189">
        <f>H40*G40*D40</f>
        <v>54.600000000000009</v>
      </c>
    </row>
    <row r="41" spans="1:11" ht="15.6" x14ac:dyDescent="0.3">
      <c r="A41" s="2"/>
      <c r="B41" s="219" t="s">
        <v>65</v>
      </c>
      <c r="C41" s="191"/>
      <c r="D41" s="192">
        <v>0</v>
      </c>
      <c r="E41" s="193" t="s">
        <v>56</v>
      </c>
      <c r="F41" s="220">
        <v>0.03</v>
      </c>
      <c r="G41" s="214">
        <f>F41*$D$5</f>
        <v>4.2</v>
      </c>
      <c r="H41" s="195">
        <f>'Year 1'!$H$41</f>
        <v>0</v>
      </c>
      <c r="I41" s="196"/>
      <c r="J41" s="197">
        <f>K41/$D$5</f>
        <v>0</v>
      </c>
      <c r="K41" s="198">
        <f>H41*G41*D41</f>
        <v>0</v>
      </c>
    </row>
    <row r="42" spans="1:11" ht="15.6" x14ac:dyDescent="0.3">
      <c r="A42" s="2"/>
      <c r="B42" s="221" t="s">
        <v>65</v>
      </c>
      <c r="C42" s="200"/>
      <c r="D42" s="201">
        <v>0</v>
      </c>
      <c r="E42" s="202" t="s">
        <v>56</v>
      </c>
      <c r="F42" s="222">
        <v>0.03</v>
      </c>
      <c r="G42" s="215">
        <f>F42*$D$5</f>
        <v>4.2</v>
      </c>
      <c r="H42" s="204">
        <f>'Year 1'!$H$42</f>
        <v>0</v>
      </c>
      <c r="I42" s="205"/>
      <c r="J42" s="206">
        <f>K42/$D$5</f>
        <v>0</v>
      </c>
      <c r="K42" s="207">
        <f>H42*G42*D42</f>
        <v>0</v>
      </c>
    </row>
    <row r="43" spans="1:11" ht="15.6" x14ac:dyDescent="0.3">
      <c r="A43" s="2"/>
      <c r="B43" s="21" t="s">
        <v>47</v>
      </c>
      <c r="C43" s="208"/>
      <c r="D43" s="209"/>
      <c r="E43" s="209"/>
      <c r="F43" s="209"/>
      <c r="G43" s="209"/>
      <c r="H43" s="217"/>
      <c r="I43" s="23"/>
      <c r="J43" s="23"/>
      <c r="K43" s="211">
        <f>SUM(K40:K42)</f>
        <v>54.600000000000009</v>
      </c>
    </row>
    <row r="44" spans="1:11" ht="15.6" x14ac:dyDescent="0.3">
      <c r="A44" s="11"/>
      <c r="B44" s="176" t="s">
        <v>66</v>
      </c>
      <c r="C44" s="177"/>
      <c r="D44" s="178"/>
      <c r="E44" s="178"/>
      <c r="F44" s="178"/>
      <c r="G44" s="178"/>
      <c r="H44" s="212"/>
      <c r="I44" s="179"/>
      <c r="J44" s="179"/>
      <c r="K44" s="180"/>
    </row>
    <row r="45" spans="1:11" ht="15.6" x14ac:dyDescent="0.3">
      <c r="A45" s="2"/>
      <c r="B45" s="190" t="s">
        <v>68</v>
      </c>
      <c r="C45" s="223"/>
      <c r="D45" s="183">
        <v>7</v>
      </c>
      <c r="E45" s="193" t="s">
        <v>56</v>
      </c>
      <c r="F45" s="224">
        <f>IF(D45=0,0,$D$11/100*'Year 1'!$C45/$D$5)</f>
        <v>1.0714285714285714E-2</v>
      </c>
      <c r="G45" s="194">
        <f>F45*$D$5</f>
        <v>1.5</v>
      </c>
      <c r="H45" s="195">
        <f>'Year 1'!$H$45</f>
        <v>7.65</v>
      </c>
      <c r="I45" s="196"/>
      <c r="J45" s="198">
        <f>K45/$D$5</f>
        <v>0.57375000000000009</v>
      </c>
      <c r="K45" s="198">
        <f>H45*G45*D45</f>
        <v>80.325000000000017</v>
      </c>
    </row>
    <row r="46" spans="1:11" ht="15.6" x14ac:dyDescent="0.3">
      <c r="A46" s="2"/>
      <c r="B46" s="190" t="s">
        <v>69</v>
      </c>
      <c r="C46" s="223"/>
      <c r="D46" s="192">
        <v>4</v>
      </c>
      <c r="E46" s="193" t="s">
        <v>56</v>
      </c>
      <c r="F46" s="224">
        <f>IF(D46=0,0,$D$11/100*'Year 1'!$C46/$D$5)</f>
        <v>7.1428571428571426E-3</v>
      </c>
      <c r="G46" s="194">
        <f>F46*$D$5</f>
        <v>1</v>
      </c>
      <c r="H46" s="195">
        <f>'Year 1'!$H$46</f>
        <v>17.82</v>
      </c>
      <c r="I46" s="196"/>
      <c r="J46" s="198">
        <f>K46/$D$5</f>
        <v>0.50914285714285712</v>
      </c>
      <c r="K46" s="198">
        <f>H46*G46*D46</f>
        <v>71.28</v>
      </c>
    </row>
    <row r="47" spans="1:11" ht="15.6" x14ac:dyDescent="0.3">
      <c r="A47" s="2"/>
      <c r="B47" s="190" t="s">
        <v>70</v>
      </c>
      <c r="C47" s="223"/>
      <c r="D47" s="192">
        <v>2</v>
      </c>
      <c r="E47" s="193" t="s">
        <v>56</v>
      </c>
      <c r="F47" s="224">
        <f>IF(D47=0,0,$D$11/100*'Year 1'!$C47/$D$5)</f>
        <v>2.7142857142857142E-3</v>
      </c>
      <c r="G47" s="194">
        <f>F47*$D$5</f>
        <v>0.38</v>
      </c>
      <c r="H47" s="195">
        <f>'Year 1'!$H$47</f>
        <v>82.72</v>
      </c>
      <c r="I47" s="196"/>
      <c r="J47" s="198">
        <f>K47/$D$5</f>
        <v>0.44905142857142855</v>
      </c>
      <c r="K47" s="198">
        <f>H47*G47*D47</f>
        <v>62.867199999999997</v>
      </c>
    </row>
    <row r="48" spans="1:11" ht="15.6" x14ac:dyDescent="0.3">
      <c r="A48" s="2"/>
      <c r="B48" s="190" t="s">
        <v>71</v>
      </c>
      <c r="C48" s="223"/>
      <c r="D48" s="201">
        <v>3</v>
      </c>
      <c r="E48" s="193" t="s">
        <v>56</v>
      </c>
      <c r="F48" s="224">
        <f>IF(D48=0,0,$D$11/100*'Year 1'!$C48/$D$5)</f>
        <v>5.3571428571428572E-3</v>
      </c>
      <c r="G48" s="194">
        <f>F48*$D$5</f>
        <v>0.75</v>
      </c>
      <c r="H48" s="195">
        <f>'Year 1'!$H$48</f>
        <v>8.1999999999999993</v>
      </c>
      <c r="I48" s="196"/>
      <c r="J48" s="198">
        <f>K48/$D$5</f>
        <v>0.13178571428571428</v>
      </c>
      <c r="K48" s="198">
        <f>H48*G48*D48</f>
        <v>18.45</v>
      </c>
    </row>
    <row r="49" spans="1:11" ht="15.6" x14ac:dyDescent="0.3">
      <c r="A49" s="2"/>
      <c r="B49" s="21" t="s">
        <v>47</v>
      </c>
      <c r="C49" s="208"/>
      <c r="D49" s="209"/>
      <c r="E49" s="209"/>
      <c r="F49" s="209"/>
      <c r="G49" s="209"/>
      <c r="H49" s="210"/>
      <c r="I49" s="23"/>
      <c r="J49" s="23"/>
      <c r="K49" s="211">
        <f>SUM(K45:K48)</f>
        <v>232.9222</v>
      </c>
    </row>
    <row r="50" spans="1:11" ht="15.6" x14ac:dyDescent="0.3">
      <c r="A50" s="2"/>
      <c r="B50" s="176" t="s">
        <v>72</v>
      </c>
      <c r="C50" s="177"/>
      <c r="D50" s="178"/>
      <c r="E50" s="178"/>
      <c r="F50" s="178"/>
      <c r="G50" s="178"/>
      <c r="H50" s="216"/>
      <c r="I50" s="179"/>
      <c r="J50" s="179"/>
      <c r="K50" s="180"/>
    </row>
    <row r="51" spans="1:11" ht="15.6" x14ac:dyDescent="0.3">
      <c r="A51" s="2"/>
      <c r="B51" s="181" t="s">
        <v>73</v>
      </c>
      <c r="C51" s="225"/>
      <c r="D51" s="226">
        <v>11</v>
      </c>
      <c r="E51" s="193" t="s">
        <v>53</v>
      </c>
      <c r="F51" s="224">
        <f>IF(D51=0,0,$D$11/100*'Year 1'!$C51/$D$5)</f>
        <v>1.4285714285714285E-2</v>
      </c>
      <c r="G51" s="213">
        <f>F51*$D$5</f>
        <v>2</v>
      </c>
      <c r="H51" s="186">
        <f>'Year 1'!$H$51</f>
        <v>6.33</v>
      </c>
      <c r="I51" s="187"/>
      <c r="J51" s="188">
        <f>K51/$D$5</f>
        <v>0.99471428571428566</v>
      </c>
      <c r="K51" s="189">
        <f>H51*G51*D51</f>
        <v>139.26</v>
      </c>
    </row>
    <row r="52" spans="1:11" ht="15.6" x14ac:dyDescent="0.3">
      <c r="A52" s="2"/>
      <c r="B52" s="219" t="s">
        <v>74</v>
      </c>
      <c r="C52" s="227"/>
      <c r="D52" s="228">
        <v>2</v>
      </c>
      <c r="E52" s="193" t="s">
        <v>56</v>
      </c>
      <c r="F52" s="308">
        <v>0.18</v>
      </c>
      <c r="G52" s="214">
        <f>F52*$D$5</f>
        <v>25.2</v>
      </c>
      <c r="H52" s="195">
        <f>'Year 1'!$H$52</f>
        <v>2.2000000000000002</v>
      </c>
      <c r="I52" s="196"/>
      <c r="J52" s="197">
        <f>K52/$D$5</f>
        <v>0.79200000000000004</v>
      </c>
      <c r="K52" s="198">
        <f>H52*G52*D52</f>
        <v>110.88000000000001</v>
      </c>
    </row>
    <row r="53" spans="1:11" ht="15.6" x14ac:dyDescent="0.3">
      <c r="A53" s="2"/>
      <c r="B53" s="221" t="s">
        <v>65</v>
      </c>
      <c r="C53" s="229"/>
      <c r="D53" s="230">
        <v>0</v>
      </c>
      <c r="E53" s="193" t="s">
        <v>53</v>
      </c>
      <c r="F53" s="224">
        <f>IF(D53=0,0,$D$11/100*'Year 1'!$C53/$D$5)</f>
        <v>0</v>
      </c>
      <c r="G53" s="215">
        <f>F53*$D$5</f>
        <v>0</v>
      </c>
      <c r="H53" s="204">
        <f>'Year 1'!$H$53</f>
        <v>0</v>
      </c>
      <c r="I53" s="205"/>
      <c r="J53" s="206">
        <f>K53/$D$5</f>
        <v>0</v>
      </c>
      <c r="K53" s="207">
        <f>H53*G53*D53</f>
        <v>0</v>
      </c>
    </row>
    <row r="54" spans="1:11" ht="15.6" x14ac:dyDescent="0.3">
      <c r="A54" s="2"/>
      <c r="B54" s="21" t="s">
        <v>47</v>
      </c>
      <c r="C54" s="208"/>
      <c r="D54" s="209"/>
      <c r="E54" s="209"/>
      <c r="F54" s="209"/>
      <c r="G54" s="209"/>
      <c r="H54" s="217"/>
      <c r="I54" s="23"/>
      <c r="J54" s="23"/>
      <c r="K54" s="211">
        <f>SUM(K51:K53)</f>
        <v>250.14</v>
      </c>
    </row>
    <row r="55" spans="1:11" ht="15.6" x14ac:dyDescent="0.3">
      <c r="A55" s="2"/>
      <c r="B55" s="176" t="s">
        <v>65</v>
      </c>
      <c r="C55" s="177"/>
      <c r="D55" s="178"/>
      <c r="E55" s="178"/>
      <c r="F55" s="178"/>
      <c r="G55" s="178"/>
      <c r="H55" s="216"/>
      <c r="I55" s="179"/>
      <c r="J55" s="179"/>
      <c r="K55" s="180"/>
    </row>
    <row r="56" spans="1:11" ht="15.6" x14ac:dyDescent="0.3">
      <c r="A56" s="2"/>
      <c r="B56" s="181" t="s">
        <v>75</v>
      </c>
      <c r="C56" s="182"/>
      <c r="D56" s="185" t="s">
        <v>44</v>
      </c>
      <c r="E56" s="184" t="s">
        <v>76</v>
      </c>
      <c r="F56" s="185" t="s">
        <v>44</v>
      </c>
      <c r="G56" s="309">
        <v>8.0500000000000007</v>
      </c>
      <c r="H56" s="186">
        <f>'Year 1'!$H$56</f>
        <v>30</v>
      </c>
      <c r="I56" s="187"/>
      <c r="J56" s="188">
        <f>K56/$D$5</f>
        <v>1.7250000000000003</v>
      </c>
      <c r="K56" s="189">
        <f>H56*G56</f>
        <v>241.50000000000003</v>
      </c>
    </row>
    <row r="57" spans="1:11" ht="15.6" x14ac:dyDescent="0.3">
      <c r="A57" s="2"/>
      <c r="B57" s="221" t="s">
        <v>77</v>
      </c>
      <c r="C57" s="200"/>
      <c r="D57" s="203" t="s">
        <v>44</v>
      </c>
      <c r="E57" s="202" t="s">
        <v>43</v>
      </c>
      <c r="F57" s="203" t="s">
        <v>44</v>
      </c>
      <c r="G57" s="310">
        <v>0</v>
      </c>
      <c r="H57" s="204">
        <f>'Year 1'!$H$57</f>
        <v>11</v>
      </c>
      <c r="I57" s="205"/>
      <c r="J57" s="206">
        <f>K57/$D$5</f>
        <v>0</v>
      </c>
      <c r="K57" s="207">
        <f>H57*G57</f>
        <v>0</v>
      </c>
    </row>
    <row r="58" spans="1:11" ht="15.6" x14ac:dyDescent="0.3">
      <c r="A58" s="2"/>
      <c r="B58" s="231" t="s">
        <v>78</v>
      </c>
      <c r="C58" s="232"/>
      <c r="D58" s="233"/>
      <c r="E58" s="233"/>
      <c r="F58" s="233"/>
      <c r="G58" s="233"/>
      <c r="H58" s="233"/>
      <c r="I58" s="235"/>
      <c r="J58" s="235">
        <f>SUM(J20:J57)</f>
        <v>16.822870000000002</v>
      </c>
      <c r="K58" s="236">
        <f>K57+K56+K54+K49+K43+K38+K28+K23</f>
        <v>2355.2018000000003</v>
      </c>
    </row>
    <row r="59" spans="1:11" ht="15.6" x14ac:dyDescent="0.3">
      <c r="A59" s="2"/>
      <c r="B59" s="2"/>
      <c r="C59" s="2"/>
      <c r="D59" s="2"/>
      <c r="E59" s="2"/>
      <c r="F59" s="2"/>
      <c r="G59" s="2"/>
      <c r="H59" s="2"/>
      <c r="I59" s="2"/>
      <c r="J59" s="2"/>
      <c r="K59" s="2"/>
    </row>
    <row r="60" spans="1:11" ht="15.6" x14ac:dyDescent="0.3">
      <c r="A60" s="2"/>
      <c r="B60" s="231" t="s">
        <v>79</v>
      </c>
      <c r="C60" s="232"/>
      <c r="D60" s="233"/>
      <c r="E60" s="233"/>
      <c r="F60" s="233"/>
      <c r="G60" s="233"/>
      <c r="H60" s="233"/>
      <c r="I60" s="235"/>
      <c r="J60" s="235"/>
      <c r="K60" s="237"/>
    </row>
    <row r="61" spans="1:11" ht="15.6" x14ac:dyDescent="0.3">
      <c r="A61" s="2"/>
      <c r="B61" s="181" t="s">
        <v>80</v>
      </c>
      <c r="C61" s="182"/>
      <c r="D61" s="183">
        <v>144</v>
      </c>
      <c r="E61" s="238"/>
      <c r="F61" s="238"/>
      <c r="G61" s="238"/>
      <c r="H61" s="238"/>
      <c r="I61" s="187"/>
      <c r="J61" s="187"/>
      <c r="K61" s="239"/>
    </row>
    <row r="62" spans="1:11" ht="15.6" x14ac:dyDescent="0.3">
      <c r="A62" s="2"/>
      <c r="B62" s="190" t="s">
        <v>81</v>
      </c>
      <c r="C62" s="191"/>
      <c r="D62" s="201">
        <v>99</v>
      </c>
      <c r="E62" s="240"/>
      <c r="F62" s="240"/>
      <c r="G62" s="240"/>
      <c r="H62" s="240"/>
      <c r="I62" s="196"/>
      <c r="J62" s="196"/>
      <c r="K62" s="241"/>
    </row>
    <row r="63" spans="1:11" ht="15.6" x14ac:dyDescent="0.3">
      <c r="A63" s="2"/>
      <c r="B63" s="190" t="s">
        <v>82</v>
      </c>
      <c r="C63" s="191"/>
      <c r="D63" s="194">
        <f>'Price and Yields'!$E$11*'Year 8'!$D$7</f>
        <v>11.200000000000001</v>
      </c>
      <c r="E63" s="240" t="s">
        <v>83</v>
      </c>
      <c r="F63" s="240"/>
      <c r="G63" s="240"/>
      <c r="H63" s="240"/>
      <c r="I63" s="196"/>
      <c r="J63" s="196"/>
      <c r="K63" s="241"/>
    </row>
    <row r="64" spans="1:11" ht="15.6" x14ac:dyDescent="0.3">
      <c r="A64" s="2"/>
      <c r="B64" s="190" t="s">
        <v>84</v>
      </c>
      <c r="C64" s="191"/>
      <c r="D64" s="194">
        <f>'Price and Yields'!$E$12*'Year 8'!$D$7</f>
        <v>0</v>
      </c>
      <c r="E64" s="240" t="s">
        <v>83</v>
      </c>
      <c r="F64" s="240"/>
      <c r="G64" s="240"/>
      <c r="H64" s="240"/>
      <c r="I64" s="196"/>
      <c r="J64" s="196"/>
      <c r="K64" s="241"/>
    </row>
    <row r="65" spans="1:11" ht="15.6" x14ac:dyDescent="0.3">
      <c r="A65" s="2"/>
      <c r="B65" s="190" t="s">
        <v>85</v>
      </c>
      <c r="C65" s="191"/>
      <c r="D65" s="194">
        <f>'Price and Yields'!$E$13*'Year 8'!$D$7</f>
        <v>2.8000000000000003</v>
      </c>
      <c r="E65" s="240" t="s">
        <v>83</v>
      </c>
      <c r="F65" s="240"/>
      <c r="G65" s="240"/>
      <c r="H65" s="240"/>
      <c r="I65" s="196"/>
      <c r="J65" s="196"/>
      <c r="K65" s="241"/>
    </row>
    <row r="66" spans="1:11" ht="15.6" x14ac:dyDescent="0.3">
      <c r="A66" s="2"/>
      <c r="B66" s="199" t="s">
        <v>86</v>
      </c>
      <c r="C66" s="200"/>
      <c r="D66" s="203">
        <f>'Price and Yields'!E14*'Year 8'!D7</f>
        <v>0</v>
      </c>
      <c r="E66" s="242" t="s">
        <v>83</v>
      </c>
      <c r="F66" s="242"/>
      <c r="G66" s="242"/>
      <c r="H66" s="242"/>
      <c r="I66" s="205"/>
      <c r="J66" s="205"/>
      <c r="K66" s="243"/>
    </row>
    <row r="67" spans="1:11" ht="15.6" x14ac:dyDescent="0.3">
      <c r="A67" s="2"/>
      <c r="B67" s="176"/>
      <c r="C67" s="177"/>
      <c r="D67" s="244"/>
      <c r="E67" s="178"/>
      <c r="F67" s="178"/>
      <c r="G67" s="178"/>
      <c r="H67" s="178"/>
      <c r="I67" s="179"/>
      <c r="J67" s="179"/>
      <c r="K67" s="180"/>
    </row>
    <row r="68" spans="1:11" ht="31.2" x14ac:dyDescent="0.3">
      <c r="A68" s="11"/>
      <c r="B68" s="231" t="s">
        <v>87</v>
      </c>
      <c r="C68" s="14"/>
      <c r="D68" s="173" t="s">
        <v>88</v>
      </c>
      <c r="E68" s="173" t="s">
        <v>89</v>
      </c>
      <c r="F68" s="173" t="s">
        <v>28</v>
      </c>
      <c r="G68" s="173" t="s">
        <v>90</v>
      </c>
      <c r="H68" s="173"/>
      <c r="I68" s="174" t="s">
        <v>29</v>
      </c>
      <c r="J68" s="174" t="s">
        <v>30</v>
      </c>
      <c r="K68" s="175" t="s">
        <v>31</v>
      </c>
    </row>
    <row r="69" spans="1:11" ht="15.6" x14ac:dyDescent="0.3">
      <c r="A69" s="2"/>
      <c r="B69" s="181" t="s">
        <v>91</v>
      </c>
      <c r="C69" s="182"/>
      <c r="D69" s="245">
        <v>60</v>
      </c>
      <c r="E69" s="246">
        <v>6</v>
      </c>
      <c r="F69" s="247">
        <f>($D$63+$D$64+$D$65+$D$66)*$D$5</f>
        <v>1960.0000000000002</v>
      </c>
      <c r="G69" s="248">
        <f>'Farm Parameters'!$D$10</f>
        <v>11</v>
      </c>
      <c r="H69" s="238"/>
      <c r="I69" s="188">
        <f>IF(ISERROR(J69/($D$63+$D$64+$D$65)),0,J69/($D$63+$D$64+$D$65))</f>
        <v>1.1000000000000001</v>
      </c>
      <c r="J69" s="189">
        <f>K69/$D$5</f>
        <v>15.400000000000004</v>
      </c>
      <c r="K69" s="249">
        <f>G69*E69*F69/D69</f>
        <v>2156.0000000000005</v>
      </c>
    </row>
    <row r="70" spans="1:11" ht="15.6" x14ac:dyDescent="0.3">
      <c r="A70" s="2"/>
      <c r="B70" s="190" t="s">
        <v>92</v>
      </c>
      <c r="C70" s="191"/>
      <c r="D70" s="250">
        <v>90</v>
      </c>
      <c r="E70" s="251">
        <v>6</v>
      </c>
      <c r="F70" s="252">
        <f>($D$63+$D$64)*$D$5</f>
        <v>1568.0000000000002</v>
      </c>
      <c r="G70" s="253">
        <f>'Farm Parameters'!$D$10</f>
        <v>11</v>
      </c>
      <c r="H70" s="240"/>
      <c r="I70" s="197">
        <f>IF(ISERROR(J70/($D$63+$D$64)),0,J70/($D$63+$D$64))</f>
        <v>0.73333333333333339</v>
      </c>
      <c r="J70" s="198">
        <f>K70/$D$5</f>
        <v>8.2133333333333347</v>
      </c>
      <c r="K70" s="255">
        <f>G70*E70*F70/D70</f>
        <v>1149.8666666666668</v>
      </c>
    </row>
    <row r="71" spans="1:11" ht="15.6" x14ac:dyDescent="0.3">
      <c r="A71" s="2"/>
      <c r="B71" s="190" t="s">
        <v>93</v>
      </c>
      <c r="C71" s="191"/>
      <c r="D71" s="256">
        <v>90</v>
      </c>
      <c r="E71" s="257">
        <v>6</v>
      </c>
      <c r="F71" s="258">
        <f>($D$65)*'Price and Yields'!$E$8/'Price and Yields'!$E$6*$D$5</f>
        <v>225.4</v>
      </c>
      <c r="G71" s="259">
        <f>'Farm Parameters'!$D$10</f>
        <v>11</v>
      </c>
      <c r="H71" s="240"/>
      <c r="I71" s="197">
        <f>IF(ISERROR(J71/($D$65)),0,J71/($D$65))</f>
        <v>0.42166666666666658</v>
      </c>
      <c r="J71" s="198">
        <f>K71/$D$5</f>
        <v>1.1806666666666665</v>
      </c>
      <c r="K71" s="255">
        <f>G71*E71*F71/D71</f>
        <v>165.29333333333332</v>
      </c>
    </row>
    <row r="72" spans="1:11" ht="15.6" x14ac:dyDescent="0.3">
      <c r="A72" s="2"/>
      <c r="B72" s="190" t="s">
        <v>94</v>
      </c>
      <c r="C72" s="191"/>
      <c r="D72" s="240"/>
      <c r="E72" s="240"/>
      <c r="F72" s="240"/>
      <c r="G72" s="240"/>
      <c r="H72" s="240"/>
      <c r="I72" s="254">
        <f>'Year 1'!$I$72</f>
        <v>1.35E-2</v>
      </c>
      <c r="J72" s="255">
        <f t="shared" ref="J72:J77" si="3">K72/$D$5</f>
        <v>0.189</v>
      </c>
      <c r="K72" s="255">
        <f t="shared" ref="K72:K77" si="4">I72*$D$7*$D$5</f>
        <v>26.46</v>
      </c>
    </row>
    <row r="73" spans="1:11" ht="15.6" x14ac:dyDescent="0.3">
      <c r="A73" s="2"/>
      <c r="B73" s="190" t="s">
        <v>95</v>
      </c>
      <c r="C73" s="191"/>
      <c r="D73" s="240"/>
      <c r="E73" s="240"/>
      <c r="F73" s="240"/>
      <c r="G73" s="240"/>
      <c r="H73" s="240"/>
      <c r="I73" s="254">
        <f>'Year 1'!$I$73</f>
        <v>0</v>
      </c>
      <c r="J73" s="255">
        <f t="shared" si="3"/>
        <v>0</v>
      </c>
      <c r="K73" s="255">
        <f t="shared" si="4"/>
        <v>0</v>
      </c>
    </row>
    <row r="74" spans="1:11" ht="15.6" x14ac:dyDescent="0.3">
      <c r="A74" s="2"/>
      <c r="B74" s="190" t="s">
        <v>96</v>
      </c>
      <c r="C74" s="191"/>
      <c r="D74" s="240"/>
      <c r="E74" s="240"/>
      <c r="F74" s="240"/>
      <c r="G74" s="240"/>
      <c r="H74" s="240"/>
      <c r="I74" s="254">
        <f>'Year 1'!$I$74</f>
        <v>1.65</v>
      </c>
      <c r="J74" s="255">
        <f>I74*(D63+D64)</f>
        <v>18.48</v>
      </c>
      <c r="K74" s="255">
        <f>J74*$D$5</f>
        <v>2587.2000000000003</v>
      </c>
    </row>
    <row r="75" spans="1:11" ht="15.6" x14ac:dyDescent="0.3">
      <c r="A75" s="2"/>
      <c r="B75" s="190" t="s">
        <v>97</v>
      </c>
      <c r="C75" s="191"/>
      <c r="D75" s="240"/>
      <c r="E75" s="240"/>
      <c r="F75" s="240"/>
      <c r="G75" s="240"/>
      <c r="H75" s="240"/>
      <c r="I75" s="254">
        <f>'Year 1'!$I$75</f>
        <v>1.38</v>
      </c>
      <c r="J75" s="255">
        <f>I75*($D$65)*'Price and Yields'!$E$8/'Price and Yields'!$E$6</f>
        <v>2.2218</v>
      </c>
      <c r="K75" s="255">
        <f>J75*$D$5</f>
        <v>311.05200000000002</v>
      </c>
    </row>
    <row r="76" spans="1:11" ht="15.6" x14ac:dyDescent="0.3">
      <c r="A76" s="2"/>
      <c r="B76" s="190" t="s">
        <v>98</v>
      </c>
      <c r="C76" s="191"/>
      <c r="D76" s="240"/>
      <c r="E76" s="240"/>
      <c r="F76" s="240"/>
      <c r="G76" s="240"/>
      <c r="H76" s="240"/>
      <c r="I76" s="254">
        <f>'Year 1'!$I$76</f>
        <v>0.02</v>
      </c>
      <c r="J76" s="255">
        <f t="shared" si="3"/>
        <v>0.28000000000000003</v>
      </c>
      <c r="K76" s="255">
        <f t="shared" si="4"/>
        <v>39.200000000000003</v>
      </c>
    </row>
    <row r="77" spans="1:11" ht="15.6" x14ac:dyDescent="0.3">
      <c r="A77" s="2"/>
      <c r="B77" s="190" t="s">
        <v>99</v>
      </c>
      <c r="C77" s="191"/>
      <c r="D77" s="240"/>
      <c r="E77" s="240"/>
      <c r="F77" s="240"/>
      <c r="G77" s="240"/>
      <c r="H77" s="240"/>
      <c r="I77" s="254">
        <f>'Year 1'!$I$77</f>
        <v>0.05</v>
      </c>
      <c r="J77" s="255">
        <f t="shared" si="3"/>
        <v>0.70000000000000007</v>
      </c>
      <c r="K77" s="255">
        <f t="shared" si="4"/>
        <v>98.000000000000014</v>
      </c>
    </row>
    <row r="78" spans="1:11" ht="15.6" x14ac:dyDescent="0.3">
      <c r="A78" s="2"/>
      <c r="B78" s="190" t="s">
        <v>100</v>
      </c>
      <c r="C78" s="19">
        <v>0.125</v>
      </c>
      <c r="D78" s="240"/>
      <c r="E78" s="240"/>
      <c r="F78" s="240"/>
      <c r="G78" s="240"/>
      <c r="H78" s="240"/>
      <c r="I78" s="197">
        <f>C78*'Price and Yields'!$C$16*'Price and Yields'!$E$8</f>
        <v>1.7868750000000002</v>
      </c>
      <c r="J78" s="198">
        <f>I78*(D63+D64+D65)</f>
        <v>25.016250000000007</v>
      </c>
      <c r="K78" s="255">
        <f>J78*D5</f>
        <v>3502.275000000001</v>
      </c>
    </row>
    <row r="79" spans="1:11" ht="15.6" x14ac:dyDescent="0.3">
      <c r="A79" s="2"/>
      <c r="B79" s="199" t="s">
        <v>101</v>
      </c>
      <c r="C79" s="6">
        <v>0.31</v>
      </c>
      <c r="D79" s="242"/>
      <c r="E79" s="242"/>
      <c r="F79" s="242"/>
      <c r="G79" s="242"/>
      <c r="H79" s="242"/>
      <c r="I79" s="206">
        <f>C79</f>
        <v>0.31</v>
      </c>
      <c r="J79" s="207">
        <f>I79*(D63+D64)+I79*(D65*'Price and Yields'!$E$8/'Price and Yields'!$E$6)</f>
        <v>3.9711000000000003</v>
      </c>
      <c r="K79" s="260">
        <f>J79*D5</f>
        <v>555.95400000000006</v>
      </c>
    </row>
    <row r="80" spans="1:11" ht="15.6" x14ac:dyDescent="0.3">
      <c r="A80" s="11"/>
      <c r="B80" s="261" t="s">
        <v>102</v>
      </c>
      <c r="C80" s="262"/>
      <c r="D80" s="263" t="s">
        <v>103</v>
      </c>
      <c r="E80" s="263"/>
      <c r="F80" s="263"/>
      <c r="G80" s="263"/>
      <c r="H80" s="263"/>
      <c r="I80" s="264"/>
      <c r="J80" s="264"/>
      <c r="K80" s="265"/>
    </row>
    <row r="81" spans="1:11" ht="15.6" x14ac:dyDescent="0.3">
      <c r="A81" s="2"/>
      <c r="B81" s="181" t="s">
        <v>104</v>
      </c>
      <c r="C81" s="182"/>
      <c r="D81" s="266">
        <v>145</v>
      </c>
      <c r="E81" s="238"/>
      <c r="F81" s="238"/>
      <c r="G81" s="238"/>
      <c r="H81" s="238"/>
      <c r="I81" s="188">
        <f>D81/$D$61</f>
        <v>1.0069444444444444</v>
      </c>
      <c r="J81" s="189">
        <f>I81*($D$63)</f>
        <v>11.277777777777779</v>
      </c>
      <c r="K81" s="249">
        <f>J81*$D$5</f>
        <v>1578.8888888888889</v>
      </c>
    </row>
    <row r="82" spans="1:11" ht="15.6" x14ac:dyDescent="0.3">
      <c r="A82" s="2"/>
      <c r="B82" s="190" t="s">
        <v>105</v>
      </c>
      <c r="C82" s="191"/>
      <c r="D82" s="267">
        <v>145</v>
      </c>
      <c r="E82" s="240"/>
      <c r="F82" s="240"/>
      <c r="G82" s="240"/>
      <c r="H82" s="240"/>
      <c r="I82" s="197">
        <f>D82/D61</f>
        <v>1.0069444444444444</v>
      </c>
      <c r="J82" s="198">
        <f>I82*($D$64)</f>
        <v>0</v>
      </c>
      <c r="K82" s="255">
        <f>J82*$D$5</f>
        <v>0</v>
      </c>
    </row>
    <row r="83" spans="1:11" ht="15.6" x14ac:dyDescent="0.3">
      <c r="A83" s="2"/>
      <c r="B83" s="199" t="s">
        <v>106</v>
      </c>
      <c r="C83" s="200"/>
      <c r="D83" s="268">
        <v>145</v>
      </c>
      <c r="E83" s="242"/>
      <c r="F83" s="242"/>
      <c r="G83" s="242"/>
      <c r="H83" s="242"/>
      <c r="I83" s="206">
        <f>D83/$D$62</f>
        <v>1.4646464646464648</v>
      </c>
      <c r="J83" s="207">
        <f>I83*($D$65)*'Price and Yields'!$E$8/'Price and Yields'!$E$6</f>
        <v>2.3580808080808087</v>
      </c>
      <c r="K83" s="260">
        <f>J83*$D$5</f>
        <v>330.13131313131322</v>
      </c>
    </row>
    <row r="84" spans="1:11" ht="15.6" x14ac:dyDescent="0.3">
      <c r="A84" s="2"/>
      <c r="B84" s="231" t="s">
        <v>107</v>
      </c>
      <c r="C84" s="232"/>
      <c r="D84" s="233"/>
      <c r="E84" s="233"/>
      <c r="F84" s="233"/>
      <c r="G84" s="233"/>
      <c r="H84" s="233"/>
      <c r="I84" s="235">
        <f>SUM(I69:I83)</f>
        <v>10.943910353535353</v>
      </c>
      <c r="J84" s="235">
        <f>SUM(J69:J83)</f>
        <v>89.28800858585862</v>
      </c>
      <c r="K84" s="237">
        <f>SUM(K69:K83)</f>
        <v>12500.321202020203</v>
      </c>
    </row>
    <row r="85" spans="1:11" ht="15.6" x14ac:dyDescent="0.3">
      <c r="A85" s="2"/>
      <c r="B85" s="2"/>
      <c r="C85" s="162"/>
      <c r="D85" s="162"/>
      <c r="E85" s="162"/>
      <c r="F85" s="162"/>
      <c r="G85" s="162"/>
      <c r="H85" s="162"/>
      <c r="I85" s="164"/>
      <c r="J85" s="164"/>
      <c r="K85" s="164"/>
    </row>
    <row r="86" spans="1:11" ht="15.6" x14ac:dyDescent="0.3">
      <c r="A86" s="2"/>
      <c r="B86" s="231" t="s">
        <v>108</v>
      </c>
      <c r="C86" s="232"/>
      <c r="D86" s="233"/>
      <c r="E86" s="233"/>
      <c r="F86" s="233"/>
      <c r="G86" s="233"/>
      <c r="H86" s="233"/>
      <c r="I86" s="235"/>
      <c r="J86" s="235">
        <f>J84+J58</f>
        <v>106.11087858585861</v>
      </c>
      <c r="K86" s="237">
        <f>K84+K58</f>
        <v>14855.523002020203</v>
      </c>
    </row>
    <row r="87" spans="1:11" ht="15.6" x14ac:dyDescent="0.3">
      <c r="A87" s="2"/>
      <c r="B87" s="269" t="s">
        <v>109</v>
      </c>
      <c r="C87" s="270"/>
      <c r="D87" s="234"/>
      <c r="E87" s="234"/>
      <c r="F87" s="234"/>
      <c r="G87" s="234"/>
      <c r="H87" s="234"/>
      <c r="I87" s="271"/>
      <c r="J87" s="271">
        <f>J14-J86</f>
        <v>94.019121414141409</v>
      </c>
      <c r="K87" s="272">
        <f>K14-K86</f>
        <v>13162.676997979801</v>
      </c>
    </row>
    <row r="88" spans="1:11" ht="15.6" x14ac:dyDescent="0.3">
      <c r="A88" s="2"/>
      <c r="B88" s="2"/>
      <c r="C88" s="162"/>
      <c r="D88" s="273"/>
      <c r="E88" s="273"/>
      <c r="F88" s="273"/>
      <c r="G88" s="273"/>
      <c r="H88" s="273"/>
      <c r="I88" s="164"/>
      <c r="J88" s="164"/>
      <c r="K88" s="164"/>
    </row>
    <row r="89" spans="1:11" ht="15.6" x14ac:dyDescent="0.3">
      <c r="A89" s="2"/>
      <c r="B89" s="2" t="s">
        <v>110</v>
      </c>
      <c r="C89" s="162"/>
      <c r="D89" s="273"/>
      <c r="E89" s="273"/>
      <c r="F89" s="273"/>
      <c r="G89" s="273"/>
      <c r="H89" s="273"/>
      <c r="I89" s="164"/>
      <c r="J89" s="164"/>
      <c r="K89" s="164"/>
    </row>
    <row r="90" spans="1:11" ht="15.6" x14ac:dyDescent="0.3">
      <c r="A90" s="2"/>
      <c r="B90" s="2" t="s">
        <v>111</v>
      </c>
      <c r="C90" s="162"/>
      <c r="D90" s="162"/>
      <c r="E90" s="162"/>
      <c r="F90" s="162"/>
      <c r="G90" s="162"/>
      <c r="H90" s="162"/>
      <c r="I90" s="164"/>
      <c r="J90" s="164"/>
      <c r="K90" s="164"/>
    </row>
  </sheetData>
  <sheetProtection password="8D83" sheet="1" objects="1" scenarios="1"/>
  <phoneticPr fontId="5"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showRowColHeaders="0" zoomScale="75" workbookViewId="0">
      <selection activeCell="Y29" sqref="Y29"/>
    </sheetView>
  </sheetViews>
  <sheetFormatPr defaultRowHeight="13.2" x14ac:dyDescent="0.25"/>
  <cols>
    <col min="2" max="2" width="28.109375" customWidth="1"/>
    <col min="3" max="3" width="25" customWidth="1"/>
    <col min="4" max="11" width="16.44140625" customWidth="1"/>
  </cols>
  <sheetData>
    <row r="1" spans="1:11" ht="24.6" x14ac:dyDescent="0.4">
      <c r="A1" s="161" t="s">
        <v>119</v>
      </c>
      <c r="B1" s="2"/>
      <c r="C1" s="162"/>
      <c r="D1" s="163"/>
      <c r="E1" s="162"/>
      <c r="F1" s="162"/>
      <c r="G1" s="162"/>
      <c r="H1" s="162"/>
      <c r="I1" s="164"/>
      <c r="J1" s="164"/>
      <c r="K1" s="164"/>
    </row>
    <row r="2" spans="1:11" ht="15.6" x14ac:dyDescent="0.3">
      <c r="A2" s="2"/>
      <c r="B2" s="2"/>
      <c r="C2" s="162"/>
      <c r="D2" s="162"/>
      <c r="E2" s="162"/>
      <c r="F2" s="162"/>
      <c r="G2" s="162"/>
      <c r="H2" s="162"/>
      <c r="I2" s="164"/>
      <c r="J2" s="164"/>
      <c r="K2" s="164"/>
    </row>
    <row r="3" spans="1:11" ht="17.399999999999999" x14ac:dyDescent="0.3">
      <c r="A3" s="7" t="s">
        <v>22</v>
      </c>
      <c r="B3" s="2"/>
      <c r="C3" s="162"/>
      <c r="D3" s="162"/>
      <c r="E3" s="162"/>
      <c r="F3" s="162"/>
      <c r="G3" s="162"/>
      <c r="H3" s="162"/>
      <c r="I3" s="164"/>
      <c r="J3" s="164"/>
      <c r="K3" s="164"/>
    </row>
    <row r="4" spans="1:11" ht="17.399999999999999" x14ac:dyDescent="0.3">
      <c r="A4" s="7"/>
      <c r="B4" s="2"/>
      <c r="C4" s="162"/>
      <c r="D4" s="162"/>
      <c r="E4" s="162"/>
      <c r="F4" s="162"/>
      <c r="G4" s="162"/>
      <c r="H4" s="162"/>
      <c r="I4" s="164"/>
      <c r="J4" s="164"/>
      <c r="K4" s="164"/>
    </row>
    <row r="5" spans="1:11" ht="15.6" x14ac:dyDescent="0.3">
      <c r="A5" s="2"/>
      <c r="B5" s="2" t="s">
        <v>23</v>
      </c>
      <c r="C5" s="162"/>
      <c r="D5" s="165">
        <f>'Farm Parameters'!D6</f>
        <v>140</v>
      </c>
      <c r="E5" s="162"/>
      <c r="F5" s="162"/>
      <c r="G5" s="162"/>
      <c r="H5" s="162"/>
      <c r="I5" s="164"/>
      <c r="J5" s="164"/>
      <c r="K5" s="164"/>
    </row>
    <row r="6" spans="1:11" ht="6" customHeight="1" x14ac:dyDescent="0.3">
      <c r="A6" s="2"/>
      <c r="B6" s="2"/>
      <c r="C6" s="162"/>
      <c r="D6" s="166"/>
      <c r="E6" s="162"/>
      <c r="F6" s="162"/>
      <c r="G6" s="162"/>
      <c r="H6" s="162"/>
      <c r="I6" s="164"/>
      <c r="J6" s="164"/>
      <c r="K6" s="164"/>
    </row>
    <row r="7" spans="1:11" ht="15.6" x14ac:dyDescent="0.3">
      <c r="A7" s="2"/>
      <c r="B7" s="2" t="s">
        <v>24</v>
      </c>
      <c r="C7" s="162"/>
      <c r="D7" s="167">
        <f>'Price and Yields'!C29</f>
        <v>14</v>
      </c>
      <c r="E7" s="162"/>
      <c r="F7" s="162"/>
      <c r="G7" s="162"/>
      <c r="H7" s="162"/>
      <c r="I7" s="164"/>
      <c r="J7" s="164"/>
      <c r="K7" s="164"/>
    </row>
    <row r="8" spans="1:11" ht="6" customHeight="1" x14ac:dyDescent="0.3">
      <c r="A8" s="2"/>
      <c r="B8" s="2"/>
      <c r="C8" s="162"/>
      <c r="D8" s="162"/>
      <c r="E8" s="162"/>
      <c r="F8" s="162"/>
      <c r="G8" s="162"/>
      <c r="H8" s="162"/>
      <c r="I8" s="164"/>
      <c r="J8" s="164"/>
      <c r="K8" s="164"/>
    </row>
    <row r="9" spans="1:11" ht="15.6" x14ac:dyDescent="0.3">
      <c r="A9" s="2"/>
      <c r="B9" s="2" t="s">
        <v>25</v>
      </c>
      <c r="C9" s="162"/>
      <c r="D9" s="20">
        <f>'Price and Yields'!$C$16</f>
        <v>2.4860869565217394</v>
      </c>
      <c r="E9" s="162"/>
      <c r="F9" s="162"/>
      <c r="G9" s="162"/>
      <c r="H9" s="162"/>
      <c r="I9" s="164"/>
      <c r="J9" s="164"/>
      <c r="K9" s="164"/>
    </row>
    <row r="10" spans="1:11" ht="6" customHeight="1" x14ac:dyDescent="0.3">
      <c r="A10" s="2"/>
      <c r="B10" s="2"/>
      <c r="C10" s="162"/>
      <c r="D10" s="164"/>
      <c r="E10" s="162"/>
      <c r="F10" s="162"/>
      <c r="G10" s="162"/>
      <c r="H10" s="162"/>
      <c r="I10" s="164"/>
      <c r="J10" s="164"/>
      <c r="K10" s="164"/>
    </row>
    <row r="11" spans="1:11" ht="15.6" x14ac:dyDescent="0.3">
      <c r="A11" s="2"/>
      <c r="B11" s="2" t="s">
        <v>26</v>
      </c>
      <c r="C11" s="162"/>
      <c r="D11" s="5">
        <v>1000</v>
      </c>
      <c r="E11" s="162"/>
      <c r="F11" s="162"/>
      <c r="G11" s="162"/>
      <c r="H11" s="162"/>
      <c r="I11" s="164"/>
      <c r="J11" s="164"/>
      <c r="K11" s="164"/>
    </row>
    <row r="12" spans="1:11" ht="15.6" x14ac:dyDescent="0.3">
      <c r="A12" s="2"/>
      <c r="B12" s="2"/>
      <c r="C12" s="162"/>
      <c r="D12" s="168"/>
      <c r="E12" s="162"/>
      <c r="F12" s="162"/>
      <c r="G12" s="162"/>
      <c r="H12" s="162"/>
      <c r="I12" s="164"/>
      <c r="J12" s="164"/>
      <c r="K12" s="164"/>
    </row>
    <row r="13" spans="1:11" ht="17.399999999999999" x14ac:dyDescent="0.3">
      <c r="A13" s="7" t="s">
        <v>27</v>
      </c>
      <c r="B13" s="11"/>
      <c r="C13" s="162"/>
      <c r="D13" s="169"/>
      <c r="E13" s="169"/>
      <c r="F13" s="169"/>
      <c r="G13" s="162"/>
      <c r="H13" s="169" t="s">
        <v>28</v>
      </c>
      <c r="I13" s="170" t="s">
        <v>29</v>
      </c>
      <c r="J13" s="170" t="s">
        <v>30</v>
      </c>
      <c r="K13" s="170" t="s">
        <v>31</v>
      </c>
    </row>
    <row r="14" spans="1:11" ht="17.399999999999999" x14ac:dyDescent="0.3">
      <c r="A14" s="7"/>
      <c r="B14" s="11" t="s">
        <v>33</v>
      </c>
      <c r="C14" s="169"/>
      <c r="D14" s="162"/>
      <c r="E14" s="162"/>
      <c r="F14" s="162"/>
      <c r="G14" s="162"/>
      <c r="H14" s="171">
        <f>D7*D5</f>
        <v>1960</v>
      </c>
      <c r="I14" s="22">
        <f>IF(ISERROR(J14/D7),0,J14/D7)</f>
        <v>14.295000000000002</v>
      </c>
      <c r="J14" s="22">
        <f>K14/D5</f>
        <v>200.13000000000002</v>
      </c>
      <c r="K14" s="22">
        <f>H14*D9*'Price and Yields'!$E$8</f>
        <v>28018.200000000004</v>
      </c>
    </row>
    <row r="15" spans="1:11" ht="15.6" x14ac:dyDescent="0.3">
      <c r="A15" s="2"/>
      <c r="B15" s="2"/>
      <c r="C15" s="162"/>
      <c r="D15" s="162"/>
      <c r="E15" s="162"/>
      <c r="F15" s="162"/>
      <c r="G15" s="162"/>
      <c r="H15" s="162"/>
      <c r="I15" s="164"/>
      <c r="J15" s="164"/>
      <c r="K15" s="164"/>
    </row>
    <row r="16" spans="1:11" ht="17.399999999999999" x14ac:dyDescent="0.3">
      <c r="A16" s="172" t="s">
        <v>34</v>
      </c>
      <c r="B16" s="2"/>
      <c r="C16" s="162"/>
      <c r="D16" s="162"/>
      <c r="E16" s="162"/>
      <c r="F16" s="162"/>
      <c r="G16" s="162"/>
      <c r="H16" s="162"/>
      <c r="I16" s="164"/>
      <c r="J16" s="164"/>
      <c r="K16" s="164"/>
    </row>
    <row r="17" spans="1:11" ht="6" customHeight="1" x14ac:dyDescent="0.3">
      <c r="A17" s="172"/>
      <c r="B17" s="2"/>
      <c r="C17" s="162"/>
      <c r="D17" s="162"/>
      <c r="E17" s="162"/>
      <c r="F17" s="162"/>
      <c r="G17" s="162"/>
      <c r="H17" s="162"/>
      <c r="I17" s="164"/>
      <c r="J17" s="164"/>
      <c r="K17" s="164"/>
    </row>
    <row r="18" spans="1:11" ht="15.6" x14ac:dyDescent="0.3">
      <c r="A18" s="11"/>
      <c r="B18" s="12" t="s">
        <v>35</v>
      </c>
      <c r="C18" s="14"/>
      <c r="D18" s="173" t="s">
        <v>36</v>
      </c>
      <c r="E18" s="173" t="s">
        <v>37</v>
      </c>
      <c r="F18" s="173" t="s">
        <v>38</v>
      </c>
      <c r="G18" s="173" t="s">
        <v>39</v>
      </c>
      <c r="H18" s="173" t="s">
        <v>40</v>
      </c>
      <c r="I18" s="174"/>
      <c r="J18" s="174" t="s">
        <v>30</v>
      </c>
      <c r="K18" s="175" t="s">
        <v>31</v>
      </c>
    </row>
    <row r="19" spans="1:11" ht="15.6" x14ac:dyDescent="0.3">
      <c r="A19" s="2"/>
      <c r="B19" s="176" t="s">
        <v>41</v>
      </c>
      <c r="C19" s="177"/>
      <c r="D19" s="178"/>
      <c r="E19" s="178"/>
      <c r="F19" s="178"/>
      <c r="G19" s="178"/>
      <c r="H19" s="178"/>
      <c r="I19" s="179"/>
      <c r="J19" s="179"/>
      <c r="K19" s="180"/>
    </row>
    <row r="20" spans="1:11" ht="15.6" x14ac:dyDescent="0.3">
      <c r="A20" s="2"/>
      <c r="B20" s="181" t="s">
        <v>42</v>
      </c>
      <c r="C20" s="182"/>
      <c r="D20" s="183">
        <v>6</v>
      </c>
      <c r="E20" s="184" t="s">
        <v>43</v>
      </c>
      <c r="F20" s="185" t="s">
        <v>44</v>
      </c>
      <c r="G20" s="183">
        <v>1</v>
      </c>
      <c r="H20" s="186">
        <f>'Year 1'!$H$20</f>
        <v>1.65</v>
      </c>
      <c r="I20" s="187"/>
      <c r="J20" s="188">
        <f>K20/$D$5</f>
        <v>7.0714285714285702E-2</v>
      </c>
      <c r="K20" s="189">
        <f>H20*G20*D20</f>
        <v>9.8999999999999986</v>
      </c>
    </row>
    <row r="21" spans="1:11" ht="15.6" x14ac:dyDescent="0.3">
      <c r="A21" s="2"/>
      <c r="B21" s="190" t="s">
        <v>45</v>
      </c>
      <c r="C21" s="191"/>
      <c r="D21" s="192">
        <v>18</v>
      </c>
      <c r="E21" s="193" t="s">
        <v>43</v>
      </c>
      <c r="F21" s="194" t="s">
        <v>44</v>
      </c>
      <c r="G21" s="192">
        <v>0.4</v>
      </c>
      <c r="H21" s="195">
        <f>'Year 1'!$H$21</f>
        <v>3</v>
      </c>
      <c r="I21" s="196"/>
      <c r="J21" s="197">
        <f>K21/$D$5</f>
        <v>0.1542857142857143</v>
      </c>
      <c r="K21" s="198">
        <f>H21*G21*D21</f>
        <v>21.6</v>
      </c>
    </row>
    <row r="22" spans="1:11" ht="15.6" x14ac:dyDescent="0.3">
      <c r="A22" s="2"/>
      <c r="B22" s="199" t="s">
        <v>46</v>
      </c>
      <c r="C22" s="200"/>
      <c r="D22" s="201">
        <v>6</v>
      </c>
      <c r="E22" s="202" t="s">
        <v>43</v>
      </c>
      <c r="F22" s="203" t="s">
        <v>44</v>
      </c>
      <c r="G22" s="201">
        <v>0.4</v>
      </c>
      <c r="H22" s="204">
        <f>'Year 1'!$H$22</f>
        <v>1.65</v>
      </c>
      <c r="I22" s="205"/>
      <c r="J22" s="206">
        <f>K22/$D$5</f>
        <v>2.8285714285714286E-2</v>
      </c>
      <c r="K22" s="207">
        <f>H22*G22*D22</f>
        <v>3.96</v>
      </c>
    </row>
    <row r="23" spans="1:11" ht="15.6" x14ac:dyDescent="0.3">
      <c r="A23" s="2"/>
      <c r="B23" s="21" t="s">
        <v>47</v>
      </c>
      <c r="C23" s="208"/>
      <c r="D23" s="209"/>
      <c r="E23" s="209"/>
      <c r="F23" s="209"/>
      <c r="G23" s="209"/>
      <c r="H23" s="210"/>
      <c r="I23" s="23"/>
      <c r="J23" s="23"/>
      <c r="K23" s="211">
        <f>SUM(K20:K22)</f>
        <v>35.46</v>
      </c>
    </row>
    <row r="24" spans="1:11" ht="15.6" x14ac:dyDescent="0.3">
      <c r="A24" s="2"/>
      <c r="B24" s="176" t="s">
        <v>48</v>
      </c>
      <c r="C24" s="177"/>
      <c r="D24" s="178"/>
      <c r="E24" s="178"/>
      <c r="F24" s="178"/>
      <c r="G24" s="178"/>
      <c r="H24" s="212"/>
      <c r="I24" s="179"/>
      <c r="J24" s="179"/>
      <c r="K24" s="180"/>
    </row>
    <row r="25" spans="1:11" ht="15.6" x14ac:dyDescent="0.3">
      <c r="A25" s="2"/>
      <c r="B25" s="181" t="s">
        <v>49</v>
      </c>
      <c r="C25" s="182"/>
      <c r="D25" s="183">
        <v>2</v>
      </c>
      <c r="E25" s="184" t="s">
        <v>43</v>
      </c>
      <c r="F25" s="183">
        <v>0.06</v>
      </c>
      <c r="G25" s="213">
        <f>F25*$D$5</f>
        <v>8.4</v>
      </c>
      <c r="H25" s="186">
        <f>'Farm Parameters'!$D$10</f>
        <v>11</v>
      </c>
      <c r="I25" s="187"/>
      <c r="J25" s="188">
        <f>K25/$D$5</f>
        <v>1.32</v>
      </c>
      <c r="K25" s="189">
        <f>H25*G25*D25</f>
        <v>184.8</v>
      </c>
    </row>
    <row r="26" spans="1:11" ht="15.6" x14ac:dyDescent="0.3">
      <c r="A26" s="2"/>
      <c r="B26" s="190" t="s">
        <v>50</v>
      </c>
      <c r="C26" s="191"/>
      <c r="D26" s="192">
        <v>1</v>
      </c>
      <c r="E26" s="193" t="s">
        <v>43</v>
      </c>
      <c r="F26" s="192">
        <v>0.2</v>
      </c>
      <c r="G26" s="214">
        <f>F26*$D$5</f>
        <v>28</v>
      </c>
      <c r="H26" s="195">
        <f>H25</f>
        <v>11</v>
      </c>
      <c r="I26" s="196"/>
      <c r="J26" s="197">
        <f>K26/$D$5</f>
        <v>2.2000000000000002</v>
      </c>
      <c r="K26" s="198">
        <f>H26*G26*D26</f>
        <v>308</v>
      </c>
    </row>
    <row r="27" spans="1:11" ht="15.6" x14ac:dyDescent="0.3">
      <c r="A27" s="2"/>
      <c r="B27" s="199" t="s">
        <v>51</v>
      </c>
      <c r="C27" s="200"/>
      <c r="D27" s="201">
        <v>1</v>
      </c>
      <c r="E27" s="202" t="s">
        <v>43</v>
      </c>
      <c r="F27" s="201">
        <v>0.25</v>
      </c>
      <c r="G27" s="215">
        <f>F27*$D$5</f>
        <v>35</v>
      </c>
      <c r="H27" s="204">
        <f>H25</f>
        <v>11</v>
      </c>
      <c r="I27" s="205"/>
      <c r="J27" s="206">
        <f>K27/$D$5</f>
        <v>2.75</v>
      </c>
      <c r="K27" s="207">
        <f>H27*G27*D27</f>
        <v>385</v>
      </c>
    </row>
    <row r="28" spans="1:11" ht="15.6" x14ac:dyDescent="0.3">
      <c r="A28" s="2"/>
      <c r="B28" s="21" t="s">
        <v>47</v>
      </c>
      <c r="C28" s="208"/>
      <c r="D28" s="209"/>
      <c r="E28" s="209"/>
      <c r="F28" s="209"/>
      <c r="G28" s="209"/>
      <c r="H28" s="210"/>
      <c r="I28" s="23"/>
      <c r="J28" s="23"/>
      <c r="K28" s="211">
        <f>SUM(K25:K27)</f>
        <v>877.8</v>
      </c>
    </row>
    <row r="29" spans="1:11" ht="15.6" x14ac:dyDescent="0.3">
      <c r="A29" s="2"/>
      <c r="B29" s="176" t="s">
        <v>46</v>
      </c>
      <c r="C29" s="177"/>
      <c r="D29" s="178"/>
      <c r="E29" s="178"/>
      <c r="F29" s="178"/>
      <c r="G29" s="178"/>
      <c r="H29" s="216"/>
      <c r="I29" s="179"/>
      <c r="J29" s="179"/>
      <c r="K29" s="180"/>
    </row>
    <row r="30" spans="1:11" ht="15.6" x14ac:dyDescent="0.3">
      <c r="A30" s="2"/>
      <c r="B30" s="181" t="s">
        <v>52</v>
      </c>
      <c r="C30" s="182"/>
      <c r="D30" s="183">
        <v>0</v>
      </c>
      <c r="E30" s="184" t="s">
        <v>53</v>
      </c>
      <c r="F30" s="183">
        <v>0.2</v>
      </c>
      <c r="G30" s="185">
        <f>F30*$D$5</f>
        <v>28</v>
      </c>
      <c r="H30" s="186">
        <f>'Year 1'!$H$30</f>
        <v>0.47</v>
      </c>
      <c r="I30" s="187"/>
      <c r="J30" s="189">
        <f t="shared" ref="J30:J37" si="0">K30/$D$5</f>
        <v>0</v>
      </c>
      <c r="K30" s="189">
        <f t="shared" ref="K30:K37" si="1">H30*G30*D30</f>
        <v>0</v>
      </c>
    </row>
    <row r="31" spans="1:11" ht="15.6" x14ac:dyDescent="0.3">
      <c r="A31" s="2"/>
      <c r="B31" s="190" t="s">
        <v>54</v>
      </c>
      <c r="C31" s="191"/>
      <c r="D31" s="192">
        <v>3</v>
      </c>
      <c r="E31" s="193" t="s">
        <v>53</v>
      </c>
      <c r="F31" s="192">
        <v>1.6</v>
      </c>
      <c r="G31" s="194">
        <f t="shared" ref="G31:G37" si="2">F31*$D$5</f>
        <v>224</v>
      </c>
      <c r="H31" s="195">
        <f>'Year 1'!$H$31</f>
        <v>0.53</v>
      </c>
      <c r="I31" s="196"/>
      <c r="J31" s="198">
        <f t="shared" si="0"/>
        <v>2.5439999999999996</v>
      </c>
      <c r="K31" s="198">
        <f t="shared" si="1"/>
        <v>356.15999999999997</v>
      </c>
    </row>
    <row r="32" spans="1:11" ht="15.6" x14ac:dyDescent="0.3">
      <c r="A32" s="2"/>
      <c r="B32" s="190" t="s">
        <v>55</v>
      </c>
      <c r="C32" s="191"/>
      <c r="D32" s="192">
        <v>0</v>
      </c>
      <c r="E32" s="193" t="s">
        <v>56</v>
      </c>
      <c r="F32" s="192">
        <v>0.35</v>
      </c>
      <c r="G32" s="194">
        <f t="shared" si="2"/>
        <v>49</v>
      </c>
      <c r="H32" s="195">
        <f>'Year 1'!$H$32</f>
        <v>3.0000000000000001E-3</v>
      </c>
      <c r="I32" s="196"/>
      <c r="J32" s="198">
        <f t="shared" si="0"/>
        <v>0</v>
      </c>
      <c r="K32" s="198">
        <f t="shared" si="1"/>
        <v>0</v>
      </c>
    </row>
    <row r="33" spans="1:11" ht="15.6" x14ac:dyDescent="0.3">
      <c r="A33" s="2"/>
      <c r="B33" s="190" t="s">
        <v>57</v>
      </c>
      <c r="C33" s="191"/>
      <c r="D33" s="192">
        <v>1</v>
      </c>
      <c r="E33" s="193" t="s">
        <v>58</v>
      </c>
      <c r="F33" s="192">
        <v>4</v>
      </c>
      <c r="G33" s="194">
        <f t="shared" si="2"/>
        <v>560</v>
      </c>
      <c r="H33" s="195">
        <f>'Year 1'!$H$33</f>
        <v>1.5</v>
      </c>
      <c r="I33" s="196"/>
      <c r="J33" s="198">
        <f t="shared" si="0"/>
        <v>6</v>
      </c>
      <c r="K33" s="198">
        <f t="shared" si="1"/>
        <v>840</v>
      </c>
    </row>
    <row r="34" spans="1:11" ht="15.6" x14ac:dyDescent="0.3">
      <c r="A34" s="2"/>
      <c r="B34" s="190" t="s">
        <v>59</v>
      </c>
      <c r="C34" s="191"/>
      <c r="D34" s="192">
        <v>1</v>
      </c>
      <c r="E34" s="193" t="s">
        <v>53</v>
      </c>
      <c r="F34" s="192">
        <v>0.2</v>
      </c>
      <c r="G34" s="194">
        <f t="shared" si="2"/>
        <v>28</v>
      </c>
      <c r="H34" s="195">
        <f>'Year 1'!$H$34</f>
        <v>0.88</v>
      </c>
      <c r="I34" s="196"/>
      <c r="J34" s="198">
        <f t="shared" si="0"/>
        <v>0.17600000000000002</v>
      </c>
      <c r="K34" s="198">
        <f t="shared" si="1"/>
        <v>24.64</v>
      </c>
    </row>
    <row r="35" spans="1:11" ht="15.6" x14ac:dyDescent="0.3">
      <c r="A35" s="2"/>
      <c r="B35" s="190" t="s">
        <v>60</v>
      </c>
      <c r="C35" s="191"/>
      <c r="D35" s="192">
        <v>1</v>
      </c>
      <c r="E35" s="193" t="s">
        <v>53</v>
      </c>
      <c r="F35" s="192">
        <v>0.5</v>
      </c>
      <c r="G35" s="194">
        <f t="shared" si="2"/>
        <v>70</v>
      </c>
      <c r="H35" s="195">
        <f>'Year 1'!$H$35</f>
        <v>1</v>
      </c>
      <c r="I35" s="196"/>
      <c r="J35" s="198">
        <f t="shared" si="0"/>
        <v>0.5</v>
      </c>
      <c r="K35" s="198">
        <f t="shared" si="1"/>
        <v>70</v>
      </c>
    </row>
    <row r="36" spans="1:11" ht="15.6" x14ac:dyDescent="0.3">
      <c r="A36" s="2"/>
      <c r="B36" s="190" t="s">
        <v>61</v>
      </c>
      <c r="C36" s="191"/>
      <c r="D36" s="192">
        <v>3</v>
      </c>
      <c r="E36" s="193" t="s">
        <v>53</v>
      </c>
      <c r="F36" s="192">
        <v>0.15</v>
      </c>
      <c r="G36" s="194">
        <f t="shared" si="2"/>
        <v>21</v>
      </c>
      <c r="H36" s="195">
        <f>'Year 1'!$H$36</f>
        <v>2.7792000000000003</v>
      </c>
      <c r="I36" s="196"/>
      <c r="J36" s="198">
        <f t="shared" si="0"/>
        <v>1.2506400000000002</v>
      </c>
      <c r="K36" s="198">
        <f t="shared" si="1"/>
        <v>175.08960000000002</v>
      </c>
    </row>
    <row r="37" spans="1:11" ht="15.6" x14ac:dyDescent="0.3">
      <c r="A37" s="2"/>
      <c r="B37" s="199" t="s">
        <v>62</v>
      </c>
      <c r="C37" s="200"/>
      <c r="D37" s="201">
        <v>1</v>
      </c>
      <c r="E37" s="193" t="s">
        <v>53</v>
      </c>
      <c r="F37" s="201">
        <v>2</v>
      </c>
      <c r="G37" s="203">
        <f t="shared" si="2"/>
        <v>280</v>
      </c>
      <c r="H37" s="204">
        <f>'Year 1'!$H$37</f>
        <v>0.14000000000000001</v>
      </c>
      <c r="I37" s="205"/>
      <c r="J37" s="207">
        <f t="shared" si="0"/>
        <v>0.28000000000000003</v>
      </c>
      <c r="K37" s="207">
        <f t="shared" si="1"/>
        <v>39.200000000000003</v>
      </c>
    </row>
    <row r="38" spans="1:11" ht="15.6" x14ac:dyDescent="0.3">
      <c r="A38" s="2"/>
      <c r="B38" s="21" t="s">
        <v>47</v>
      </c>
      <c r="C38" s="208"/>
      <c r="D38" s="209"/>
      <c r="E38" s="209"/>
      <c r="F38" s="209"/>
      <c r="G38" s="209"/>
      <c r="H38" s="217"/>
      <c r="I38" s="23"/>
      <c r="J38" s="23"/>
      <c r="K38" s="211">
        <f>SUM(K30:K37)</f>
        <v>1505.0896</v>
      </c>
    </row>
    <row r="39" spans="1:11" ht="15.6" x14ac:dyDescent="0.3">
      <c r="A39" s="2"/>
      <c r="B39" s="176" t="s">
        <v>63</v>
      </c>
      <c r="C39" s="177"/>
      <c r="D39" s="178"/>
      <c r="E39" s="178"/>
      <c r="F39" s="178"/>
      <c r="G39" s="178"/>
      <c r="H39" s="216"/>
      <c r="I39" s="179"/>
      <c r="J39" s="179"/>
      <c r="K39" s="180"/>
    </row>
    <row r="40" spans="1:11" ht="15.6" x14ac:dyDescent="0.3">
      <c r="A40" s="2"/>
      <c r="B40" s="181" t="s">
        <v>64</v>
      </c>
      <c r="C40" s="182"/>
      <c r="D40" s="183">
        <v>5</v>
      </c>
      <c r="E40" s="184" t="s">
        <v>56</v>
      </c>
      <c r="F40" s="218">
        <v>8.0000000000000002E-3</v>
      </c>
      <c r="G40" s="213">
        <f>F40*$D$5</f>
        <v>1.1200000000000001</v>
      </c>
      <c r="H40" s="186">
        <f>'Year 1'!$H$40</f>
        <v>9.75</v>
      </c>
      <c r="I40" s="187"/>
      <c r="J40" s="188">
        <f>K40/$D$5</f>
        <v>0.39000000000000007</v>
      </c>
      <c r="K40" s="189">
        <f>H40*G40*D40</f>
        <v>54.600000000000009</v>
      </c>
    </row>
    <row r="41" spans="1:11" ht="15.6" x14ac:dyDescent="0.3">
      <c r="A41" s="2"/>
      <c r="B41" s="219" t="s">
        <v>65</v>
      </c>
      <c r="C41" s="191"/>
      <c r="D41" s="192">
        <v>0</v>
      </c>
      <c r="E41" s="193" t="s">
        <v>56</v>
      </c>
      <c r="F41" s="220">
        <v>0.03</v>
      </c>
      <c r="G41" s="214">
        <f>F41*$D$5</f>
        <v>4.2</v>
      </c>
      <c r="H41" s="195">
        <f>'Year 1'!$H$41</f>
        <v>0</v>
      </c>
      <c r="I41" s="196"/>
      <c r="J41" s="197">
        <f>K41/$D$5</f>
        <v>0</v>
      </c>
      <c r="K41" s="198">
        <f>H41*G41*D41</f>
        <v>0</v>
      </c>
    </row>
    <row r="42" spans="1:11" ht="15.6" x14ac:dyDescent="0.3">
      <c r="A42" s="2"/>
      <c r="B42" s="221" t="s">
        <v>65</v>
      </c>
      <c r="C42" s="200"/>
      <c r="D42" s="201">
        <v>0</v>
      </c>
      <c r="E42" s="202" t="s">
        <v>56</v>
      </c>
      <c r="F42" s="222">
        <v>0.03</v>
      </c>
      <c r="G42" s="215">
        <f>F42*$D$5</f>
        <v>4.2</v>
      </c>
      <c r="H42" s="204">
        <f>'Year 1'!$H$42</f>
        <v>0</v>
      </c>
      <c r="I42" s="205"/>
      <c r="J42" s="206">
        <f>K42/$D$5</f>
        <v>0</v>
      </c>
      <c r="K42" s="207">
        <f>H42*G42*D42</f>
        <v>0</v>
      </c>
    </row>
    <row r="43" spans="1:11" ht="15.6" x14ac:dyDescent="0.3">
      <c r="A43" s="2"/>
      <c r="B43" s="21" t="s">
        <v>47</v>
      </c>
      <c r="C43" s="208"/>
      <c r="D43" s="209"/>
      <c r="E43" s="209"/>
      <c r="F43" s="209"/>
      <c r="G43" s="209"/>
      <c r="H43" s="217"/>
      <c r="I43" s="23"/>
      <c r="J43" s="23"/>
      <c r="K43" s="211">
        <f>SUM(K40:K42)</f>
        <v>54.600000000000009</v>
      </c>
    </row>
    <row r="44" spans="1:11" ht="15.6" x14ac:dyDescent="0.3">
      <c r="A44" s="11"/>
      <c r="B44" s="176" t="s">
        <v>66</v>
      </c>
      <c r="C44" s="177"/>
      <c r="D44" s="178"/>
      <c r="E44" s="178"/>
      <c r="F44" s="178"/>
      <c r="G44" s="178"/>
      <c r="H44" s="212"/>
      <c r="I44" s="179"/>
      <c r="J44" s="179"/>
      <c r="K44" s="180"/>
    </row>
    <row r="45" spans="1:11" ht="15.6" x14ac:dyDescent="0.3">
      <c r="A45" s="2"/>
      <c r="B45" s="190" t="s">
        <v>68</v>
      </c>
      <c r="C45" s="223"/>
      <c r="D45" s="183">
        <v>7</v>
      </c>
      <c r="E45" s="193" t="s">
        <v>56</v>
      </c>
      <c r="F45" s="224">
        <f>IF(D45=0,0,$D$11/100*'Year 1'!$C45/$D$5)</f>
        <v>1.0714285714285714E-2</v>
      </c>
      <c r="G45" s="194">
        <f>F45*$D$5</f>
        <v>1.5</v>
      </c>
      <c r="H45" s="195">
        <f>'Year 1'!$H$45</f>
        <v>7.65</v>
      </c>
      <c r="I45" s="196"/>
      <c r="J45" s="198">
        <f>K45/$D$5</f>
        <v>0.57375000000000009</v>
      </c>
      <c r="K45" s="198">
        <f>H45*G45*D45</f>
        <v>80.325000000000017</v>
      </c>
    </row>
    <row r="46" spans="1:11" ht="15.6" x14ac:dyDescent="0.3">
      <c r="A46" s="2"/>
      <c r="B46" s="190" t="s">
        <v>69</v>
      </c>
      <c r="C46" s="223"/>
      <c r="D46" s="192">
        <v>4</v>
      </c>
      <c r="E46" s="193" t="s">
        <v>56</v>
      </c>
      <c r="F46" s="224">
        <f>IF(D46=0,0,$D$11/100*'Year 1'!$C46/$D$5)</f>
        <v>7.1428571428571426E-3</v>
      </c>
      <c r="G46" s="194">
        <f>F46*$D$5</f>
        <v>1</v>
      </c>
      <c r="H46" s="195">
        <f>'Year 1'!$H$46</f>
        <v>17.82</v>
      </c>
      <c r="I46" s="196"/>
      <c r="J46" s="198">
        <f>K46/$D$5</f>
        <v>0.50914285714285712</v>
      </c>
      <c r="K46" s="198">
        <f>H46*G46*D46</f>
        <v>71.28</v>
      </c>
    </row>
    <row r="47" spans="1:11" ht="15.6" x14ac:dyDescent="0.3">
      <c r="A47" s="2"/>
      <c r="B47" s="190" t="s">
        <v>70</v>
      </c>
      <c r="C47" s="223"/>
      <c r="D47" s="192">
        <v>2</v>
      </c>
      <c r="E47" s="193" t="s">
        <v>56</v>
      </c>
      <c r="F47" s="224">
        <f>IF(D47=0,0,$D$11/100*'Year 1'!$C47/$D$5)</f>
        <v>2.7142857142857142E-3</v>
      </c>
      <c r="G47" s="194">
        <f>F47*$D$5</f>
        <v>0.38</v>
      </c>
      <c r="H47" s="195">
        <f>'Year 1'!$H$47</f>
        <v>82.72</v>
      </c>
      <c r="I47" s="196"/>
      <c r="J47" s="198">
        <f>K47/$D$5</f>
        <v>0.44905142857142855</v>
      </c>
      <c r="K47" s="198">
        <f>H47*G47*D47</f>
        <v>62.867199999999997</v>
      </c>
    </row>
    <row r="48" spans="1:11" ht="15.6" x14ac:dyDescent="0.3">
      <c r="A48" s="2"/>
      <c r="B48" s="190" t="s">
        <v>71</v>
      </c>
      <c r="C48" s="223"/>
      <c r="D48" s="201">
        <v>3</v>
      </c>
      <c r="E48" s="193" t="s">
        <v>56</v>
      </c>
      <c r="F48" s="224">
        <f>IF(D48=0,0,$D$11/100*'Year 1'!$C48/$D$5)</f>
        <v>5.3571428571428572E-3</v>
      </c>
      <c r="G48" s="194">
        <f>F48*$D$5</f>
        <v>0.75</v>
      </c>
      <c r="H48" s="195">
        <f>'Year 1'!$H$48</f>
        <v>8.1999999999999993</v>
      </c>
      <c r="I48" s="196"/>
      <c r="J48" s="198">
        <f>K48/$D$5</f>
        <v>0.13178571428571428</v>
      </c>
      <c r="K48" s="198">
        <f>H48*G48*D48</f>
        <v>18.45</v>
      </c>
    </row>
    <row r="49" spans="1:11" ht="15.6" x14ac:dyDescent="0.3">
      <c r="A49" s="2"/>
      <c r="B49" s="21" t="s">
        <v>47</v>
      </c>
      <c r="C49" s="208"/>
      <c r="D49" s="209"/>
      <c r="E49" s="209"/>
      <c r="F49" s="209"/>
      <c r="G49" s="209"/>
      <c r="H49" s="210"/>
      <c r="I49" s="23"/>
      <c r="J49" s="23"/>
      <c r="K49" s="211">
        <f>SUM(K45:K48)</f>
        <v>232.9222</v>
      </c>
    </row>
    <row r="50" spans="1:11" ht="15.6" x14ac:dyDescent="0.3">
      <c r="A50" s="2"/>
      <c r="B50" s="176" t="s">
        <v>72</v>
      </c>
      <c r="C50" s="177"/>
      <c r="D50" s="178"/>
      <c r="E50" s="178"/>
      <c r="F50" s="178"/>
      <c r="G50" s="178"/>
      <c r="H50" s="216"/>
      <c r="I50" s="179"/>
      <c r="J50" s="179"/>
      <c r="K50" s="180"/>
    </row>
    <row r="51" spans="1:11" ht="15.6" x14ac:dyDescent="0.3">
      <c r="A51" s="2"/>
      <c r="B51" s="181" t="s">
        <v>73</v>
      </c>
      <c r="C51" s="225"/>
      <c r="D51" s="226">
        <v>11</v>
      </c>
      <c r="E51" s="193" t="s">
        <v>53</v>
      </c>
      <c r="F51" s="224">
        <f>IF(D51=0,0,$D$11/100*'Year 1'!$C51/$D$5)</f>
        <v>1.4285714285714285E-2</v>
      </c>
      <c r="G51" s="213">
        <f>F51*$D$5</f>
        <v>2</v>
      </c>
      <c r="H51" s="186">
        <f>'Year 1'!$H$51</f>
        <v>6.33</v>
      </c>
      <c r="I51" s="187"/>
      <c r="J51" s="188">
        <f>K51/$D$5</f>
        <v>0.99471428571428566</v>
      </c>
      <c r="K51" s="189">
        <f>H51*G51*D51</f>
        <v>139.26</v>
      </c>
    </row>
    <row r="52" spans="1:11" ht="15.6" x14ac:dyDescent="0.3">
      <c r="A52" s="2"/>
      <c r="B52" s="219" t="s">
        <v>74</v>
      </c>
      <c r="C52" s="227"/>
      <c r="D52" s="228">
        <v>2</v>
      </c>
      <c r="E52" s="193" t="s">
        <v>56</v>
      </c>
      <c r="F52" s="308">
        <v>0.18</v>
      </c>
      <c r="G52" s="214">
        <f>F52*$D$5</f>
        <v>25.2</v>
      </c>
      <c r="H52" s="195">
        <f>'Year 1'!$H$52</f>
        <v>2.2000000000000002</v>
      </c>
      <c r="I52" s="196"/>
      <c r="J52" s="197">
        <f>K52/$D$5</f>
        <v>0.79200000000000004</v>
      </c>
      <c r="K52" s="198">
        <f>H52*G52*D52</f>
        <v>110.88000000000001</v>
      </c>
    </row>
    <row r="53" spans="1:11" ht="15.6" x14ac:dyDescent="0.3">
      <c r="A53" s="2"/>
      <c r="B53" s="221" t="s">
        <v>65</v>
      </c>
      <c r="C53" s="229"/>
      <c r="D53" s="230">
        <v>0</v>
      </c>
      <c r="E53" s="193" t="s">
        <v>53</v>
      </c>
      <c r="F53" s="224">
        <f>IF(D53=0,0,$D$11/100*'Year 1'!$C53/$D$5)</f>
        <v>0</v>
      </c>
      <c r="G53" s="215">
        <f>F53*$D$5</f>
        <v>0</v>
      </c>
      <c r="H53" s="204">
        <f>'Year 1'!$H$53</f>
        <v>0</v>
      </c>
      <c r="I53" s="205"/>
      <c r="J53" s="206">
        <f>K53/$D$5</f>
        <v>0</v>
      </c>
      <c r="K53" s="207">
        <f>H53*G53*D53</f>
        <v>0</v>
      </c>
    </row>
    <row r="54" spans="1:11" ht="15.6" x14ac:dyDescent="0.3">
      <c r="A54" s="2"/>
      <c r="B54" s="21" t="s">
        <v>47</v>
      </c>
      <c r="C54" s="208"/>
      <c r="D54" s="209"/>
      <c r="E54" s="209"/>
      <c r="F54" s="209"/>
      <c r="G54" s="209"/>
      <c r="H54" s="217"/>
      <c r="I54" s="23"/>
      <c r="J54" s="23"/>
      <c r="K54" s="211">
        <f>SUM(K51:K53)</f>
        <v>250.14</v>
      </c>
    </row>
    <row r="55" spans="1:11" ht="15.6" x14ac:dyDescent="0.3">
      <c r="A55" s="2"/>
      <c r="B55" s="176" t="s">
        <v>65</v>
      </c>
      <c r="C55" s="177"/>
      <c r="D55" s="178"/>
      <c r="E55" s="178"/>
      <c r="F55" s="178"/>
      <c r="G55" s="178"/>
      <c r="H55" s="216"/>
      <c r="I55" s="179"/>
      <c r="J55" s="179"/>
      <c r="K55" s="180"/>
    </row>
    <row r="56" spans="1:11" ht="15.6" x14ac:dyDescent="0.3">
      <c r="A56" s="2"/>
      <c r="B56" s="181" t="s">
        <v>75</v>
      </c>
      <c r="C56" s="182"/>
      <c r="D56" s="185" t="s">
        <v>44</v>
      </c>
      <c r="E56" s="184" t="s">
        <v>76</v>
      </c>
      <c r="F56" s="185" t="s">
        <v>44</v>
      </c>
      <c r="G56" s="309">
        <v>8.0500000000000007</v>
      </c>
      <c r="H56" s="186">
        <f>'Year 1'!$H$56</f>
        <v>30</v>
      </c>
      <c r="I56" s="187"/>
      <c r="J56" s="188">
        <f>K56/$D$5</f>
        <v>1.7250000000000003</v>
      </c>
      <c r="K56" s="189">
        <f>H56*G56</f>
        <v>241.50000000000003</v>
      </c>
    </row>
    <row r="57" spans="1:11" ht="15.6" x14ac:dyDescent="0.3">
      <c r="A57" s="2"/>
      <c r="B57" s="221" t="s">
        <v>77</v>
      </c>
      <c r="C57" s="200"/>
      <c r="D57" s="203" t="s">
        <v>44</v>
      </c>
      <c r="E57" s="202" t="s">
        <v>43</v>
      </c>
      <c r="F57" s="203" t="s">
        <v>44</v>
      </c>
      <c r="G57" s="310">
        <v>0</v>
      </c>
      <c r="H57" s="204">
        <f>'Year 1'!$H$57</f>
        <v>11</v>
      </c>
      <c r="I57" s="205"/>
      <c r="J57" s="206">
        <f>K57/$D$5</f>
        <v>0</v>
      </c>
      <c r="K57" s="207">
        <f>H57*G57</f>
        <v>0</v>
      </c>
    </row>
    <row r="58" spans="1:11" ht="15.6" x14ac:dyDescent="0.3">
      <c r="A58" s="2"/>
      <c r="B58" s="231" t="s">
        <v>78</v>
      </c>
      <c r="C58" s="232"/>
      <c r="D58" s="233"/>
      <c r="E58" s="233"/>
      <c r="F58" s="233"/>
      <c r="G58" s="233"/>
      <c r="H58" s="233"/>
      <c r="I58" s="235"/>
      <c r="J58" s="235">
        <f>SUM(J20:J57)</f>
        <v>22.839370000000006</v>
      </c>
      <c r="K58" s="236">
        <f>K57+K56+K54+K49+K43+K38+K28+K23</f>
        <v>3197.5118000000002</v>
      </c>
    </row>
    <row r="59" spans="1:11" ht="15.6" x14ac:dyDescent="0.3">
      <c r="A59" s="2"/>
      <c r="B59" s="2"/>
      <c r="C59" s="2"/>
      <c r="D59" s="2"/>
      <c r="E59" s="2"/>
      <c r="F59" s="2"/>
      <c r="G59" s="2"/>
      <c r="H59" s="2"/>
      <c r="I59" s="2"/>
      <c r="J59" s="2"/>
      <c r="K59" s="2"/>
    </row>
    <row r="60" spans="1:11" ht="15.6" x14ac:dyDescent="0.3">
      <c r="A60" s="2"/>
      <c r="B60" s="231" t="s">
        <v>79</v>
      </c>
      <c r="C60" s="232"/>
      <c r="D60" s="233"/>
      <c r="E60" s="233"/>
      <c r="F60" s="233"/>
      <c r="G60" s="233"/>
      <c r="H60" s="233"/>
      <c r="I60" s="235"/>
      <c r="J60" s="235"/>
      <c r="K60" s="237"/>
    </row>
    <row r="61" spans="1:11" ht="15.6" x14ac:dyDescent="0.3">
      <c r="A61" s="2"/>
      <c r="B61" s="181" t="s">
        <v>80</v>
      </c>
      <c r="C61" s="182"/>
      <c r="D61" s="183">
        <v>144</v>
      </c>
      <c r="E61" s="238"/>
      <c r="F61" s="238"/>
      <c r="G61" s="238"/>
      <c r="H61" s="238"/>
      <c r="I61" s="187"/>
      <c r="J61" s="187"/>
      <c r="K61" s="239"/>
    </row>
    <row r="62" spans="1:11" ht="15.6" x14ac:dyDescent="0.3">
      <c r="A62" s="2"/>
      <c r="B62" s="190" t="s">
        <v>81</v>
      </c>
      <c r="C62" s="191"/>
      <c r="D62" s="201">
        <v>99</v>
      </c>
      <c r="E62" s="240"/>
      <c r="F62" s="240"/>
      <c r="G62" s="240"/>
      <c r="H62" s="240"/>
      <c r="I62" s="196"/>
      <c r="J62" s="196"/>
      <c r="K62" s="241"/>
    </row>
    <row r="63" spans="1:11" ht="15.6" x14ac:dyDescent="0.3">
      <c r="A63" s="2"/>
      <c r="B63" s="190" t="s">
        <v>82</v>
      </c>
      <c r="C63" s="191"/>
      <c r="D63" s="194">
        <f>'Price and Yields'!$E$11*'Year 9'!$D$7</f>
        <v>11.200000000000001</v>
      </c>
      <c r="E63" s="240" t="s">
        <v>83</v>
      </c>
      <c r="F63" s="240"/>
      <c r="G63" s="240"/>
      <c r="H63" s="240"/>
      <c r="I63" s="196"/>
      <c r="J63" s="196"/>
      <c r="K63" s="241"/>
    </row>
    <row r="64" spans="1:11" ht="15.6" x14ac:dyDescent="0.3">
      <c r="A64" s="2"/>
      <c r="B64" s="190" t="s">
        <v>84</v>
      </c>
      <c r="C64" s="191"/>
      <c r="D64" s="194">
        <f>'Price and Yields'!$E$12*'Year 9'!$D$7</f>
        <v>0</v>
      </c>
      <c r="E64" s="240" t="s">
        <v>83</v>
      </c>
      <c r="F64" s="240"/>
      <c r="G64" s="240"/>
      <c r="H64" s="240"/>
      <c r="I64" s="196"/>
      <c r="J64" s="196"/>
      <c r="K64" s="241"/>
    </row>
    <row r="65" spans="1:11" ht="15.6" x14ac:dyDescent="0.3">
      <c r="A65" s="2"/>
      <c r="B65" s="190" t="s">
        <v>85</v>
      </c>
      <c r="C65" s="191"/>
      <c r="D65" s="194">
        <f>'Price and Yields'!$E$13*'Year 9'!$D$7</f>
        <v>2.8000000000000003</v>
      </c>
      <c r="E65" s="240" t="s">
        <v>83</v>
      </c>
      <c r="F65" s="240"/>
      <c r="G65" s="240"/>
      <c r="H65" s="240"/>
      <c r="I65" s="196"/>
      <c r="J65" s="196"/>
      <c r="K65" s="241"/>
    </row>
    <row r="66" spans="1:11" ht="15.6" x14ac:dyDescent="0.3">
      <c r="A66" s="2"/>
      <c r="B66" s="199" t="s">
        <v>86</v>
      </c>
      <c r="C66" s="200"/>
      <c r="D66" s="203">
        <f>'Price and Yields'!E14*'Year 9'!D7</f>
        <v>0</v>
      </c>
      <c r="E66" s="242" t="s">
        <v>83</v>
      </c>
      <c r="F66" s="242"/>
      <c r="G66" s="242"/>
      <c r="H66" s="242"/>
      <c r="I66" s="205"/>
      <c r="J66" s="205"/>
      <c r="K66" s="243"/>
    </row>
    <row r="67" spans="1:11" ht="15.6" x14ac:dyDescent="0.3">
      <c r="A67" s="2"/>
      <c r="B67" s="176"/>
      <c r="C67" s="177"/>
      <c r="D67" s="244"/>
      <c r="E67" s="178"/>
      <c r="F67" s="178"/>
      <c r="G67" s="178"/>
      <c r="H67" s="178"/>
      <c r="I67" s="179"/>
      <c r="J67" s="179"/>
      <c r="K67" s="180"/>
    </row>
    <row r="68" spans="1:11" ht="31.2" x14ac:dyDescent="0.3">
      <c r="A68" s="11"/>
      <c r="B68" s="231" t="s">
        <v>87</v>
      </c>
      <c r="C68" s="14"/>
      <c r="D68" s="173" t="s">
        <v>88</v>
      </c>
      <c r="E68" s="173" t="s">
        <v>89</v>
      </c>
      <c r="F68" s="173" t="s">
        <v>28</v>
      </c>
      <c r="G68" s="173" t="s">
        <v>90</v>
      </c>
      <c r="H68" s="173"/>
      <c r="I68" s="174" t="s">
        <v>29</v>
      </c>
      <c r="J68" s="174" t="s">
        <v>30</v>
      </c>
      <c r="K68" s="175" t="s">
        <v>31</v>
      </c>
    </row>
    <row r="69" spans="1:11" ht="15.6" x14ac:dyDescent="0.3">
      <c r="A69" s="2"/>
      <c r="B69" s="181" t="s">
        <v>91</v>
      </c>
      <c r="C69" s="182"/>
      <c r="D69" s="245">
        <v>60</v>
      </c>
      <c r="E69" s="246">
        <v>6</v>
      </c>
      <c r="F69" s="247">
        <f>($D$63+$D$64+$D$65+$D$66)*$D$5</f>
        <v>1960.0000000000002</v>
      </c>
      <c r="G69" s="248">
        <f>'Farm Parameters'!$D$10</f>
        <v>11</v>
      </c>
      <c r="H69" s="238"/>
      <c r="I69" s="188">
        <f>IF(ISERROR(J69/($D$63+$D$64+$D$65)),0,J69/($D$63+$D$64+$D$65))</f>
        <v>1.1000000000000001</v>
      </c>
      <c r="J69" s="189">
        <f>K69/$D$5</f>
        <v>15.400000000000004</v>
      </c>
      <c r="K69" s="249">
        <f>G69*E69*F69/D69</f>
        <v>2156.0000000000005</v>
      </c>
    </row>
    <row r="70" spans="1:11" ht="15.6" x14ac:dyDescent="0.3">
      <c r="A70" s="2"/>
      <c r="B70" s="190" t="s">
        <v>92</v>
      </c>
      <c r="C70" s="191"/>
      <c r="D70" s="250">
        <v>90</v>
      </c>
      <c r="E70" s="251">
        <v>6</v>
      </c>
      <c r="F70" s="252">
        <f>($D$63+$D$64)*$D$5</f>
        <v>1568.0000000000002</v>
      </c>
      <c r="G70" s="253">
        <f>'Farm Parameters'!$D$10</f>
        <v>11</v>
      </c>
      <c r="H70" s="240"/>
      <c r="I70" s="197">
        <f>IF(ISERROR(J70/($D$63+$D$64)),0,J70/($D$63+$D$64))</f>
        <v>0.73333333333333339</v>
      </c>
      <c r="J70" s="198">
        <f>K70/$D$5</f>
        <v>8.2133333333333347</v>
      </c>
      <c r="K70" s="255">
        <f>G70*E70*F70/D70</f>
        <v>1149.8666666666668</v>
      </c>
    </row>
    <row r="71" spans="1:11" ht="15.6" x14ac:dyDescent="0.3">
      <c r="A71" s="2"/>
      <c r="B71" s="190" t="s">
        <v>93</v>
      </c>
      <c r="C71" s="191"/>
      <c r="D71" s="256">
        <v>90</v>
      </c>
      <c r="E71" s="257">
        <v>6</v>
      </c>
      <c r="F71" s="258">
        <f>($D$65)*'Price and Yields'!$E$8/'Price and Yields'!$E$6*$D$5</f>
        <v>225.4</v>
      </c>
      <c r="G71" s="259">
        <f>'Farm Parameters'!$D$10</f>
        <v>11</v>
      </c>
      <c r="H71" s="240"/>
      <c r="I71" s="197">
        <f>IF(ISERROR(J71/($D$65)),0,J71/($D$65))</f>
        <v>0.42166666666666658</v>
      </c>
      <c r="J71" s="198">
        <f>K71/$D$5</f>
        <v>1.1806666666666665</v>
      </c>
      <c r="K71" s="255">
        <f>G71*E71*F71/D71</f>
        <v>165.29333333333332</v>
      </c>
    </row>
    <row r="72" spans="1:11" ht="15.6" x14ac:dyDescent="0.3">
      <c r="A72" s="2"/>
      <c r="B72" s="190" t="s">
        <v>94</v>
      </c>
      <c r="C72" s="191"/>
      <c r="D72" s="240"/>
      <c r="E72" s="240"/>
      <c r="F72" s="240"/>
      <c r="G72" s="240"/>
      <c r="H72" s="240"/>
      <c r="I72" s="254">
        <f>'Year 1'!$I$72</f>
        <v>1.35E-2</v>
      </c>
      <c r="J72" s="255">
        <f t="shared" ref="J72:J77" si="3">K72/$D$5</f>
        <v>0.189</v>
      </c>
      <c r="K72" s="255">
        <f t="shared" ref="K72:K77" si="4">I72*$D$7*$D$5</f>
        <v>26.46</v>
      </c>
    </row>
    <row r="73" spans="1:11" ht="15.6" x14ac:dyDescent="0.3">
      <c r="A73" s="2"/>
      <c r="B73" s="190" t="s">
        <v>95</v>
      </c>
      <c r="C73" s="191"/>
      <c r="D73" s="240"/>
      <c r="E73" s="240"/>
      <c r="F73" s="240"/>
      <c r="G73" s="240"/>
      <c r="H73" s="240"/>
      <c r="I73" s="254">
        <f>'Year 1'!$I$73</f>
        <v>0</v>
      </c>
      <c r="J73" s="255">
        <f t="shared" si="3"/>
        <v>0</v>
      </c>
      <c r="K73" s="255">
        <f t="shared" si="4"/>
        <v>0</v>
      </c>
    </row>
    <row r="74" spans="1:11" ht="15.6" x14ac:dyDescent="0.3">
      <c r="A74" s="2"/>
      <c r="B74" s="190" t="s">
        <v>96</v>
      </c>
      <c r="C74" s="191"/>
      <c r="D74" s="240"/>
      <c r="E74" s="240"/>
      <c r="F74" s="240"/>
      <c r="G74" s="240"/>
      <c r="H74" s="240"/>
      <c r="I74" s="254">
        <f>'Year 1'!$I$74</f>
        <v>1.65</v>
      </c>
      <c r="J74" s="255">
        <f>I74*(D63+D64)</f>
        <v>18.48</v>
      </c>
      <c r="K74" s="255">
        <f>J74*$D$5</f>
        <v>2587.2000000000003</v>
      </c>
    </row>
    <row r="75" spans="1:11" ht="15.6" x14ac:dyDescent="0.3">
      <c r="A75" s="2"/>
      <c r="B75" s="190" t="s">
        <v>97</v>
      </c>
      <c r="C75" s="191"/>
      <c r="D75" s="240"/>
      <c r="E75" s="240"/>
      <c r="F75" s="240"/>
      <c r="G75" s="240"/>
      <c r="H75" s="240"/>
      <c r="I75" s="254">
        <f>'Year 1'!$I$75</f>
        <v>1.38</v>
      </c>
      <c r="J75" s="255">
        <f>I75*($D$65)*'Price and Yields'!$E$8/'Price and Yields'!$E$6</f>
        <v>2.2218</v>
      </c>
      <c r="K75" s="255">
        <f>J75*$D$5</f>
        <v>311.05200000000002</v>
      </c>
    </row>
    <row r="76" spans="1:11" ht="15.6" x14ac:dyDescent="0.3">
      <c r="A76" s="2"/>
      <c r="B76" s="190" t="s">
        <v>98</v>
      </c>
      <c r="C76" s="191"/>
      <c r="D76" s="240"/>
      <c r="E76" s="240"/>
      <c r="F76" s="240"/>
      <c r="G76" s="240"/>
      <c r="H76" s="240"/>
      <c r="I76" s="254">
        <f>'Year 1'!$I$76</f>
        <v>0.02</v>
      </c>
      <c r="J76" s="255">
        <f t="shared" si="3"/>
        <v>0.28000000000000003</v>
      </c>
      <c r="K76" s="255">
        <f t="shared" si="4"/>
        <v>39.200000000000003</v>
      </c>
    </row>
    <row r="77" spans="1:11" ht="15.6" x14ac:dyDescent="0.3">
      <c r="A77" s="2"/>
      <c r="B77" s="190" t="s">
        <v>99</v>
      </c>
      <c r="C77" s="191"/>
      <c r="D77" s="240"/>
      <c r="E77" s="240"/>
      <c r="F77" s="240"/>
      <c r="G77" s="240"/>
      <c r="H77" s="240"/>
      <c r="I77" s="254">
        <f>'Year 1'!$I$77</f>
        <v>0.05</v>
      </c>
      <c r="J77" s="255">
        <f t="shared" si="3"/>
        <v>0.70000000000000007</v>
      </c>
      <c r="K77" s="255">
        <f t="shared" si="4"/>
        <v>98.000000000000014</v>
      </c>
    </row>
    <row r="78" spans="1:11" ht="15.6" x14ac:dyDescent="0.3">
      <c r="A78" s="2"/>
      <c r="B78" s="190" t="s">
        <v>100</v>
      </c>
      <c r="C78" s="19">
        <v>0.125</v>
      </c>
      <c r="D78" s="240"/>
      <c r="E78" s="240"/>
      <c r="F78" s="240"/>
      <c r="G78" s="240"/>
      <c r="H78" s="240"/>
      <c r="I78" s="197">
        <f>C78*'Price and Yields'!$C$16*'Price and Yields'!$E$8</f>
        <v>1.7868750000000002</v>
      </c>
      <c r="J78" s="198">
        <f>I78*(D63+D64+D65)</f>
        <v>25.016250000000007</v>
      </c>
      <c r="K78" s="255">
        <f>J78*D5</f>
        <v>3502.275000000001</v>
      </c>
    </row>
    <row r="79" spans="1:11" ht="15.6" x14ac:dyDescent="0.3">
      <c r="A79" s="2"/>
      <c r="B79" s="199" t="s">
        <v>101</v>
      </c>
      <c r="C79" s="6">
        <v>0.31</v>
      </c>
      <c r="D79" s="242"/>
      <c r="E79" s="242"/>
      <c r="F79" s="242"/>
      <c r="G79" s="242"/>
      <c r="H79" s="242"/>
      <c r="I79" s="206">
        <f>C79</f>
        <v>0.31</v>
      </c>
      <c r="J79" s="207">
        <f>I79*(D63+D64)+I79*(D65*'Price and Yields'!$E$8/'Price and Yields'!$E$6)</f>
        <v>3.9711000000000003</v>
      </c>
      <c r="K79" s="260">
        <f>J79*D5</f>
        <v>555.95400000000006</v>
      </c>
    </row>
    <row r="80" spans="1:11" ht="15.6" x14ac:dyDescent="0.3">
      <c r="A80" s="11"/>
      <c r="B80" s="261" t="s">
        <v>102</v>
      </c>
      <c r="C80" s="262"/>
      <c r="D80" s="263" t="s">
        <v>103</v>
      </c>
      <c r="E80" s="263"/>
      <c r="F80" s="263"/>
      <c r="G80" s="263"/>
      <c r="H80" s="263"/>
      <c r="I80" s="264"/>
      <c r="J80" s="264"/>
      <c r="K80" s="265"/>
    </row>
    <row r="81" spans="1:11" ht="15.6" x14ac:dyDescent="0.3">
      <c r="A81" s="2"/>
      <c r="B81" s="181" t="s">
        <v>104</v>
      </c>
      <c r="C81" s="182"/>
      <c r="D81" s="266">
        <v>145</v>
      </c>
      <c r="E81" s="238"/>
      <c r="F81" s="238"/>
      <c r="G81" s="238"/>
      <c r="H81" s="238"/>
      <c r="I81" s="188">
        <f>D81/$D$61</f>
        <v>1.0069444444444444</v>
      </c>
      <c r="J81" s="189">
        <f>I81*($D$63)</f>
        <v>11.277777777777779</v>
      </c>
      <c r="K81" s="249">
        <f>J81*$D$5</f>
        <v>1578.8888888888889</v>
      </c>
    </row>
    <row r="82" spans="1:11" ht="15.6" x14ac:dyDescent="0.3">
      <c r="A82" s="2"/>
      <c r="B82" s="190" t="s">
        <v>105</v>
      </c>
      <c r="C82" s="191"/>
      <c r="D82" s="267">
        <v>145</v>
      </c>
      <c r="E82" s="240"/>
      <c r="F82" s="240"/>
      <c r="G82" s="240"/>
      <c r="H82" s="240"/>
      <c r="I82" s="197">
        <f>D82/D61</f>
        <v>1.0069444444444444</v>
      </c>
      <c r="J82" s="198">
        <f>I82*($D$64)</f>
        <v>0</v>
      </c>
      <c r="K82" s="255">
        <f>J82*$D$5</f>
        <v>0</v>
      </c>
    </row>
    <row r="83" spans="1:11" ht="15.6" x14ac:dyDescent="0.3">
      <c r="A83" s="2"/>
      <c r="B83" s="199" t="s">
        <v>106</v>
      </c>
      <c r="C83" s="200"/>
      <c r="D83" s="268">
        <v>145</v>
      </c>
      <c r="E83" s="242"/>
      <c r="F83" s="242"/>
      <c r="G83" s="242"/>
      <c r="H83" s="242"/>
      <c r="I83" s="206">
        <f>D83/$D$62</f>
        <v>1.4646464646464648</v>
      </c>
      <c r="J83" s="207">
        <f>I83*($D$65)*'Price and Yields'!$E$8/'Price and Yields'!$E$6</f>
        <v>2.3580808080808087</v>
      </c>
      <c r="K83" s="260">
        <f>J83*$D$5</f>
        <v>330.13131313131322</v>
      </c>
    </row>
    <row r="84" spans="1:11" ht="15.6" x14ac:dyDescent="0.3">
      <c r="A84" s="2"/>
      <c r="B84" s="231" t="s">
        <v>107</v>
      </c>
      <c r="C84" s="232"/>
      <c r="D84" s="233"/>
      <c r="E84" s="233"/>
      <c r="F84" s="233"/>
      <c r="G84" s="233"/>
      <c r="H84" s="233"/>
      <c r="I84" s="235">
        <f>SUM(I69:I83)</f>
        <v>10.943910353535353</v>
      </c>
      <c r="J84" s="235">
        <f>SUM(J69:J83)</f>
        <v>89.28800858585862</v>
      </c>
      <c r="K84" s="237">
        <f>SUM(K69:K83)</f>
        <v>12500.321202020203</v>
      </c>
    </row>
    <row r="85" spans="1:11" ht="15.6" x14ac:dyDescent="0.3">
      <c r="A85" s="2"/>
      <c r="B85" s="2"/>
      <c r="C85" s="162"/>
      <c r="D85" s="162"/>
      <c r="E85" s="162"/>
      <c r="F85" s="162"/>
      <c r="G85" s="162"/>
      <c r="H85" s="162"/>
      <c r="I85" s="164"/>
      <c r="J85" s="164"/>
      <c r="K85" s="164"/>
    </row>
    <row r="86" spans="1:11" ht="15.6" x14ac:dyDescent="0.3">
      <c r="A86" s="2"/>
      <c r="B86" s="231" t="s">
        <v>108</v>
      </c>
      <c r="C86" s="232"/>
      <c r="D86" s="233"/>
      <c r="E86" s="233"/>
      <c r="F86" s="233"/>
      <c r="G86" s="233"/>
      <c r="H86" s="233"/>
      <c r="I86" s="235"/>
      <c r="J86" s="235">
        <f>J84+J58</f>
        <v>112.12737858585862</v>
      </c>
      <c r="K86" s="237">
        <f>K84+K58</f>
        <v>15697.833002020203</v>
      </c>
    </row>
    <row r="87" spans="1:11" ht="15.6" x14ac:dyDescent="0.3">
      <c r="A87" s="2"/>
      <c r="B87" s="269" t="s">
        <v>109</v>
      </c>
      <c r="C87" s="270"/>
      <c r="D87" s="234"/>
      <c r="E87" s="234"/>
      <c r="F87" s="234"/>
      <c r="G87" s="234"/>
      <c r="H87" s="234"/>
      <c r="I87" s="271"/>
      <c r="J87" s="271">
        <f>J14-J86</f>
        <v>88.002621414141402</v>
      </c>
      <c r="K87" s="272">
        <f>K14-K86</f>
        <v>12320.366997979801</v>
      </c>
    </row>
    <row r="88" spans="1:11" ht="15.6" x14ac:dyDescent="0.3">
      <c r="A88" s="2"/>
      <c r="B88" s="2"/>
      <c r="C88" s="162"/>
      <c r="D88" s="273"/>
      <c r="E88" s="273"/>
      <c r="F88" s="273"/>
      <c r="G88" s="273"/>
      <c r="H88" s="273"/>
      <c r="I88" s="164"/>
      <c r="J88" s="164"/>
      <c r="K88" s="164"/>
    </row>
    <row r="89" spans="1:11" ht="15.6" x14ac:dyDescent="0.3">
      <c r="A89" s="2"/>
      <c r="B89" s="2" t="s">
        <v>110</v>
      </c>
      <c r="C89" s="162"/>
      <c r="D89" s="273"/>
      <c r="E89" s="273"/>
      <c r="F89" s="273"/>
      <c r="G89" s="273"/>
      <c r="H89" s="273"/>
      <c r="I89" s="164"/>
      <c r="J89" s="164"/>
      <c r="K89" s="164"/>
    </row>
    <row r="90" spans="1:11" ht="15.6" x14ac:dyDescent="0.3">
      <c r="A90" s="2"/>
      <c r="B90" s="2" t="s">
        <v>111</v>
      </c>
      <c r="C90" s="162"/>
      <c r="D90" s="162"/>
      <c r="E90" s="162"/>
      <c r="F90" s="162"/>
      <c r="G90" s="162"/>
      <c r="H90" s="162"/>
      <c r="I90" s="164"/>
      <c r="J90" s="164"/>
      <c r="K90" s="164"/>
    </row>
  </sheetData>
  <sheetProtection password="8D83" sheet="1" objects="1" scenarios="1"/>
  <phoneticPr fontId="5"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showRowColHeaders="0" zoomScale="75" workbookViewId="0">
      <selection activeCell="Y29" sqref="Y29"/>
    </sheetView>
  </sheetViews>
  <sheetFormatPr defaultRowHeight="13.2" x14ac:dyDescent="0.25"/>
  <cols>
    <col min="2" max="2" width="28.109375" customWidth="1"/>
    <col min="3" max="3" width="25" customWidth="1"/>
    <col min="4" max="11" width="16.44140625" customWidth="1"/>
  </cols>
  <sheetData>
    <row r="1" spans="1:11" ht="24.6" x14ac:dyDescent="0.4">
      <c r="A1" s="161" t="s">
        <v>120</v>
      </c>
      <c r="B1" s="2"/>
      <c r="C1" s="162"/>
      <c r="D1" s="163"/>
      <c r="E1" s="162"/>
      <c r="F1" s="162"/>
      <c r="G1" s="162"/>
      <c r="H1" s="162"/>
      <c r="I1" s="164"/>
      <c r="J1" s="164"/>
      <c r="K1" s="164"/>
    </row>
    <row r="2" spans="1:11" ht="15.6" x14ac:dyDescent="0.3">
      <c r="A2" s="2"/>
      <c r="B2" s="2"/>
      <c r="C2" s="162"/>
      <c r="D2" s="162"/>
      <c r="E2" s="162"/>
      <c r="F2" s="162"/>
      <c r="G2" s="162"/>
      <c r="H2" s="162"/>
      <c r="I2" s="164"/>
      <c r="J2" s="164"/>
      <c r="K2" s="164"/>
    </row>
    <row r="3" spans="1:11" ht="17.399999999999999" x14ac:dyDescent="0.3">
      <c r="A3" s="7" t="s">
        <v>22</v>
      </c>
      <c r="B3" s="2"/>
      <c r="C3" s="162"/>
      <c r="D3" s="162"/>
      <c r="E3" s="162"/>
      <c r="F3" s="162"/>
      <c r="G3" s="162"/>
      <c r="H3" s="162"/>
      <c r="I3" s="164"/>
      <c r="J3" s="164"/>
      <c r="K3" s="164"/>
    </row>
    <row r="4" spans="1:11" ht="17.399999999999999" x14ac:dyDescent="0.3">
      <c r="A4" s="7"/>
      <c r="B4" s="2"/>
      <c r="C4" s="162"/>
      <c r="D4" s="162"/>
      <c r="E4" s="162"/>
      <c r="F4" s="162"/>
      <c r="G4" s="162"/>
      <c r="H4" s="162"/>
      <c r="I4" s="164"/>
      <c r="J4" s="164"/>
      <c r="K4" s="164"/>
    </row>
    <row r="5" spans="1:11" ht="15.6" x14ac:dyDescent="0.3">
      <c r="A5" s="2"/>
      <c r="B5" s="2" t="s">
        <v>23</v>
      </c>
      <c r="C5" s="162"/>
      <c r="D5" s="165">
        <f>'Farm Parameters'!D6</f>
        <v>140</v>
      </c>
      <c r="E5" s="162"/>
      <c r="F5" s="162"/>
      <c r="G5" s="162"/>
      <c r="H5" s="162"/>
      <c r="I5" s="164"/>
      <c r="J5" s="164"/>
      <c r="K5" s="164"/>
    </row>
    <row r="6" spans="1:11" ht="6" customHeight="1" x14ac:dyDescent="0.3">
      <c r="A6" s="2"/>
      <c r="B6" s="2"/>
      <c r="C6" s="162"/>
      <c r="D6" s="166"/>
      <c r="E6" s="162"/>
      <c r="F6" s="162"/>
      <c r="G6" s="162"/>
      <c r="H6" s="162"/>
      <c r="I6" s="164"/>
      <c r="J6" s="164"/>
      <c r="K6" s="164"/>
    </row>
    <row r="7" spans="1:11" ht="15.6" x14ac:dyDescent="0.3">
      <c r="A7" s="2"/>
      <c r="B7" s="2" t="s">
        <v>24</v>
      </c>
      <c r="C7" s="162"/>
      <c r="D7" s="167">
        <f>'Price and Yields'!C30</f>
        <v>14</v>
      </c>
      <c r="E7" s="162"/>
      <c r="F7" s="162"/>
      <c r="G7" s="162"/>
      <c r="H7" s="162"/>
      <c r="I7" s="164"/>
      <c r="J7" s="164"/>
      <c r="K7" s="164"/>
    </row>
    <row r="8" spans="1:11" ht="6" customHeight="1" x14ac:dyDescent="0.3">
      <c r="A8" s="2"/>
      <c r="B8" s="2"/>
      <c r="C8" s="162"/>
      <c r="D8" s="162"/>
      <c r="E8" s="162"/>
      <c r="F8" s="162"/>
      <c r="G8" s="162"/>
      <c r="H8" s="162"/>
      <c r="I8" s="164"/>
      <c r="J8" s="164"/>
      <c r="K8" s="164"/>
    </row>
    <row r="9" spans="1:11" ht="15.6" x14ac:dyDescent="0.3">
      <c r="A9" s="2"/>
      <c r="B9" s="2" t="s">
        <v>25</v>
      </c>
      <c r="C9" s="162"/>
      <c r="D9" s="20">
        <f>'Price and Yields'!$C$16</f>
        <v>2.4860869565217394</v>
      </c>
      <c r="E9" s="162"/>
      <c r="F9" s="162"/>
      <c r="G9" s="162"/>
      <c r="H9" s="162"/>
      <c r="I9" s="164"/>
      <c r="J9" s="164"/>
      <c r="K9" s="164"/>
    </row>
    <row r="10" spans="1:11" ht="6" customHeight="1" x14ac:dyDescent="0.3">
      <c r="A10" s="2"/>
      <c r="B10" s="2"/>
      <c r="C10" s="162"/>
      <c r="D10" s="164"/>
      <c r="E10" s="162"/>
      <c r="F10" s="162"/>
      <c r="G10" s="162"/>
      <c r="H10" s="162"/>
      <c r="I10" s="164"/>
      <c r="J10" s="164"/>
      <c r="K10" s="164"/>
    </row>
    <row r="11" spans="1:11" ht="15.6" x14ac:dyDescent="0.3">
      <c r="A11" s="2"/>
      <c r="B11" s="2" t="s">
        <v>26</v>
      </c>
      <c r="C11" s="162"/>
      <c r="D11" s="5">
        <v>1000</v>
      </c>
      <c r="E11" s="162"/>
      <c r="F11" s="162"/>
      <c r="G11" s="162"/>
      <c r="H11" s="162"/>
      <c r="I11" s="164"/>
      <c r="J11" s="164"/>
      <c r="K11" s="164"/>
    </row>
    <row r="12" spans="1:11" ht="15.6" x14ac:dyDescent="0.3">
      <c r="A12" s="2"/>
      <c r="B12" s="2"/>
      <c r="C12" s="162"/>
      <c r="D12" s="168"/>
      <c r="E12" s="162"/>
      <c r="F12" s="162"/>
      <c r="G12" s="162"/>
      <c r="H12" s="162"/>
      <c r="I12" s="164"/>
      <c r="J12" s="164"/>
      <c r="K12" s="164"/>
    </row>
    <row r="13" spans="1:11" ht="17.399999999999999" x14ac:dyDescent="0.3">
      <c r="A13" s="7" t="s">
        <v>27</v>
      </c>
      <c r="B13" s="11"/>
      <c r="C13" s="162"/>
      <c r="D13" s="169"/>
      <c r="E13" s="169"/>
      <c r="F13" s="169"/>
      <c r="G13" s="162"/>
      <c r="H13" s="169" t="s">
        <v>28</v>
      </c>
      <c r="I13" s="170" t="s">
        <v>29</v>
      </c>
      <c r="J13" s="170" t="s">
        <v>30</v>
      </c>
      <c r="K13" s="170" t="s">
        <v>31</v>
      </c>
    </row>
    <row r="14" spans="1:11" ht="17.399999999999999" x14ac:dyDescent="0.3">
      <c r="A14" s="7"/>
      <c r="B14" s="11" t="s">
        <v>33</v>
      </c>
      <c r="C14" s="169"/>
      <c r="D14" s="162"/>
      <c r="E14" s="162"/>
      <c r="F14" s="162"/>
      <c r="G14" s="162"/>
      <c r="H14" s="171">
        <f>D7*D5</f>
        <v>1960</v>
      </c>
      <c r="I14" s="22">
        <f>IF(ISERROR(J14/D7),0,J14/D7)</f>
        <v>14.295000000000002</v>
      </c>
      <c r="J14" s="22">
        <f>K14/D5</f>
        <v>200.13000000000002</v>
      </c>
      <c r="K14" s="22">
        <f>H14*D9*'Price and Yields'!$E$8</f>
        <v>28018.200000000004</v>
      </c>
    </row>
    <row r="15" spans="1:11" ht="15.6" x14ac:dyDescent="0.3">
      <c r="A15" s="2"/>
      <c r="B15" s="2"/>
      <c r="C15" s="162"/>
      <c r="D15" s="162"/>
      <c r="E15" s="162"/>
      <c r="F15" s="162"/>
      <c r="G15" s="162"/>
      <c r="H15" s="162"/>
      <c r="I15" s="164"/>
      <c r="J15" s="164"/>
      <c r="K15" s="164"/>
    </row>
    <row r="16" spans="1:11" ht="17.399999999999999" x14ac:dyDescent="0.3">
      <c r="A16" s="172" t="s">
        <v>34</v>
      </c>
      <c r="B16" s="2"/>
      <c r="C16" s="162"/>
      <c r="D16" s="162"/>
      <c r="E16" s="162"/>
      <c r="F16" s="162"/>
      <c r="G16" s="162"/>
      <c r="H16" s="162"/>
      <c r="I16" s="164"/>
      <c r="J16" s="164"/>
      <c r="K16" s="164"/>
    </row>
    <row r="17" spans="1:11" ht="6" customHeight="1" x14ac:dyDescent="0.3">
      <c r="A17" s="172"/>
      <c r="B17" s="2"/>
      <c r="C17" s="162"/>
      <c r="D17" s="162"/>
      <c r="E17" s="162"/>
      <c r="F17" s="162"/>
      <c r="G17" s="162"/>
      <c r="H17" s="162"/>
      <c r="I17" s="164"/>
      <c r="J17" s="164"/>
      <c r="K17" s="164"/>
    </row>
    <row r="18" spans="1:11" ht="15.6" x14ac:dyDescent="0.3">
      <c r="A18" s="11"/>
      <c r="B18" s="12" t="s">
        <v>35</v>
      </c>
      <c r="C18" s="14"/>
      <c r="D18" s="173" t="s">
        <v>36</v>
      </c>
      <c r="E18" s="173" t="s">
        <v>37</v>
      </c>
      <c r="F18" s="173" t="s">
        <v>38</v>
      </c>
      <c r="G18" s="173" t="s">
        <v>39</v>
      </c>
      <c r="H18" s="173" t="s">
        <v>40</v>
      </c>
      <c r="I18" s="174"/>
      <c r="J18" s="174" t="s">
        <v>30</v>
      </c>
      <c r="K18" s="175" t="s">
        <v>31</v>
      </c>
    </row>
    <row r="19" spans="1:11" ht="15.6" x14ac:dyDescent="0.3">
      <c r="A19" s="2"/>
      <c r="B19" s="176" t="s">
        <v>41</v>
      </c>
      <c r="C19" s="177"/>
      <c r="D19" s="178"/>
      <c r="E19" s="178"/>
      <c r="F19" s="178"/>
      <c r="G19" s="178"/>
      <c r="H19" s="178"/>
      <c r="I19" s="179"/>
      <c r="J19" s="179"/>
      <c r="K19" s="180"/>
    </row>
    <row r="20" spans="1:11" ht="15.6" x14ac:dyDescent="0.3">
      <c r="A20" s="2"/>
      <c r="B20" s="181" t="s">
        <v>42</v>
      </c>
      <c r="C20" s="182"/>
      <c r="D20" s="183">
        <v>5</v>
      </c>
      <c r="E20" s="184" t="s">
        <v>43</v>
      </c>
      <c r="F20" s="185" t="s">
        <v>44</v>
      </c>
      <c r="G20" s="183">
        <v>1</v>
      </c>
      <c r="H20" s="186">
        <f>'Year 1'!$H$20</f>
        <v>1.65</v>
      </c>
      <c r="I20" s="187"/>
      <c r="J20" s="188">
        <f>K20/$D$5</f>
        <v>5.8928571428571427E-2</v>
      </c>
      <c r="K20" s="189">
        <f>H20*G20*D20</f>
        <v>8.25</v>
      </c>
    </row>
    <row r="21" spans="1:11" ht="15.6" x14ac:dyDescent="0.3">
      <c r="A21" s="2"/>
      <c r="B21" s="190" t="s">
        <v>45</v>
      </c>
      <c r="C21" s="191"/>
      <c r="D21" s="192">
        <v>18</v>
      </c>
      <c r="E21" s="193" t="s">
        <v>43</v>
      </c>
      <c r="F21" s="194" t="s">
        <v>44</v>
      </c>
      <c r="G21" s="192">
        <v>0.4</v>
      </c>
      <c r="H21" s="195">
        <f>'Year 1'!$H$21</f>
        <v>3</v>
      </c>
      <c r="I21" s="196"/>
      <c r="J21" s="197">
        <f>K21/$D$5</f>
        <v>0.1542857142857143</v>
      </c>
      <c r="K21" s="198">
        <f>H21*G21*D21</f>
        <v>21.6</v>
      </c>
    </row>
    <row r="22" spans="1:11" ht="15.6" x14ac:dyDescent="0.3">
      <c r="A22" s="2"/>
      <c r="B22" s="199" t="s">
        <v>46</v>
      </c>
      <c r="C22" s="200"/>
      <c r="D22" s="201">
        <v>5</v>
      </c>
      <c r="E22" s="202" t="s">
        <v>43</v>
      </c>
      <c r="F22" s="203" t="s">
        <v>44</v>
      </c>
      <c r="G22" s="201">
        <v>0.4</v>
      </c>
      <c r="H22" s="204">
        <f>'Year 1'!$H$22</f>
        <v>1.65</v>
      </c>
      <c r="I22" s="205"/>
      <c r="J22" s="206">
        <f>K22/$D$5</f>
        <v>2.3571428571428573E-2</v>
      </c>
      <c r="K22" s="207">
        <f>H22*G22*D22</f>
        <v>3.3000000000000003</v>
      </c>
    </row>
    <row r="23" spans="1:11" ht="15.6" x14ac:dyDescent="0.3">
      <c r="A23" s="2"/>
      <c r="B23" s="21" t="s">
        <v>47</v>
      </c>
      <c r="C23" s="208"/>
      <c r="D23" s="209"/>
      <c r="E23" s="209"/>
      <c r="F23" s="209"/>
      <c r="G23" s="209"/>
      <c r="H23" s="210"/>
      <c r="I23" s="23"/>
      <c r="J23" s="23"/>
      <c r="K23" s="211">
        <f>SUM(K20:K22)</f>
        <v>33.15</v>
      </c>
    </row>
    <row r="24" spans="1:11" ht="15.6" x14ac:dyDescent="0.3">
      <c r="A24" s="2"/>
      <c r="B24" s="176" t="s">
        <v>48</v>
      </c>
      <c r="C24" s="177"/>
      <c r="D24" s="178"/>
      <c r="E24" s="178"/>
      <c r="F24" s="178"/>
      <c r="G24" s="178"/>
      <c r="H24" s="212"/>
      <c r="I24" s="179"/>
      <c r="J24" s="179"/>
      <c r="K24" s="180"/>
    </row>
    <row r="25" spans="1:11" ht="15.6" x14ac:dyDescent="0.3">
      <c r="A25" s="2"/>
      <c r="B25" s="181" t="s">
        <v>49</v>
      </c>
      <c r="C25" s="182"/>
      <c r="D25" s="183">
        <v>2</v>
      </c>
      <c r="E25" s="184" t="s">
        <v>43</v>
      </c>
      <c r="F25" s="183">
        <v>0.06</v>
      </c>
      <c r="G25" s="213">
        <f>F25*$D$5</f>
        <v>8.4</v>
      </c>
      <c r="H25" s="186">
        <f>'Farm Parameters'!$D$10</f>
        <v>11</v>
      </c>
      <c r="I25" s="187"/>
      <c r="J25" s="188">
        <f>K25/$D$5</f>
        <v>1.32</v>
      </c>
      <c r="K25" s="189">
        <f>H25*G25*D25</f>
        <v>184.8</v>
      </c>
    </row>
    <row r="26" spans="1:11" ht="15.6" x14ac:dyDescent="0.3">
      <c r="A26" s="2"/>
      <c r="B26" s="190" t="s">
        <v>50</v>
      </c>
      <c r="C26" s="191"/>
      <c r="D26" s="192">
        <v>1</v>
      </c>
      <c r="E26" s="193" t="s">
        <v>43</v>
      </c>
      <c r="F26" s="192">
        <v>0.2</v>
      </c>
      <c r="G26" s="214">
        <f>F26*$D$5</f>
        <v>28</v>
      </c>
      <c r="H26" s="195">
        <f>H25</f>
        <v>11</v>
      </c>
      <c r="I26" s="196"/>
      <c r="J26" s="197">
        <f>K26/$D$5</f>
        <v>2.2000000000000002</v>
      </c>
      <c r="K26" s="198">
        <f>H26*G26*D26</f>
        <v>308</v>
      </c>
    </row>
    <row r="27" spans="1:11" ht="15.6" x14ac:dyDescent="0.3">
      <c r="A27" s="2"/>
      <c r="B27" s="199" t="s">
        <v>51</v>
      </c>
      <c r="C27" s="200"/>
      <c r="D27" s="201">
        <v>1</v>
      </c>
      <c r="E27" s="202" t="s">
        <v>43</v>
      </c>
      <c r="F27" s="201">
        <v>0.25</v>
      </c>
      <c r="G27" s="215">
        <f>F27*$D$5</f>
        <v>35</v>
      </c>
      <c r="H27" s="204">
        <f>H25</f>
        <v>11</v>
      </c>
      <c r="I27" s="205"/>
      <c r="J27" s="206">
        <f>K27/$D$5</f>
        <v>2.75</v>
      </c>
      <c r="K27" s="207">
        <f>H27*G27*D27</f>
        <v>385</v>
      </c>
    </row>
    <row r="28" spans="1:11" ht="15.6" x14ac:dyDescent="0.3">
      <c r="A28" s="2"/>
      <c r="B28" s="21" t="s">
        <v>47</v>
      </c>
      <c r="C28" s="208"/>
      <c r="D28" s="209"/>
      <c r="E28" s="209"/>
      <c r="F28" s="209"/>
      <c r="G28" s="209"/>
      <c r="H28" s="210"/>
      <c r="I28" s="23"/>
      <c r="J28" s="23"/>
      <c r="K28" s="211">
        <f>SUM(K25:K27)</f>
        <v>877.8</v>
      </c>
    </row>
    <row r="29" spans="1:11" ht="15.6" x14ac:dyDescent="0.3">
      <c r="A29" s="2"/>
      <c r="B29" s="176" t="s">
        <v>46</v>
      </c>
      <c r="C29" s="177"/>
      <c r="D29" s="178"/>
      <c r="E29" s="178"/>
      <c r="F29" s="178"/>
      <c r="G29" s="178"/>
      <c r="H29" s="216"/>
      <c r="I29" s="179"/>
      <c r="J29" s="179"/>
      <c r="K29" s="180"/>
    </row>
    <row r="30" spans="1:11" ht="15.6" x14ac:dyDescent="0.3">
      <c r="A30" s="2"/>
      <c r="B30" s="181" t="s">
        <v>52</v>
      </c>
      <c r="C30" s="182"/>
      <c r="D30" s="183">
        <v>0</v>
      </c>
      <c r="E30" s="184" t="s">
        <v>53</v>
      </c>
      <c r="F30" s="183">
        <v>0.2</v>
      </c>
      <c r="G30" s="185">
        <f>F30*$D$5</f>
        <v>28</v>
      </c>
      <c r="H30" s="186">
        <f>'Year 1'!$H$30</f>
        <v>0.47</v>
      </c>
      <c r="I30" s="187"/>
      <c r="J30" s="189">
        <f t="shared" ref="J30:J37" si="0">K30/$D$5</f>
        <v>0</v>
      </c>
      <c r="K30" s="189">
        <f t="shared" ref="K30:K37" si="1">H30*G30*D30</f>
        <v>0</v>
      </c>
    </row>
    <row r="31" spans="1:11" ht="15.6" x14ac:dyDescent="0.3">
      <c r="A31" s="2"/>
      <c r="B31" s="190" t="s">
        <v>54</v>
      </c>
      <c r="C31" s="191"/>
      <c r="D31" s="192">
        <v>3</v>
      </c>
      <c r="E31" s="193" t="s">
        <v>53</v>
      </c>
      <c r="F31" s="192">
        <v>1.6</v>
      </c>
      <c r="G31" s="194">
        <f t="shared" ref="G31:G37" si="2">F31*$D$5</f>
        <v>224</v>
      </c>
      <c r="H31" s="195">
        <f>'Year 1'!$H$31</f>
        <v>0.53</v>
      </c>
      <c r="I31" s="196"/>
      <c r="J31" s="198">
        <f t="shared" si="0"/>
        <v>2.5439999999999996</v>
      </c>
      <c r="K31" s="198">
        <f t="shared" si="1"/>
        <v>356.15999999999997</v>
      </c>
    </row>
    <row r="32" spans="1:11" ht="15.6" x14ac:dyDescent="0.3">
      <c r="A32" s="2"/>
      <c r="B32" s="190" t="s">
        <v>55</v>
      </c>
      <c r="C32" s="191"/>
      <c r="D32" s="192">
        <v>0</v>
      </c>
      <c r="E32" s="193" t="s">
        <v>56</v>
      </c>
      <c r="F32" s="192">
        <v>0.35</v>
      </c>
      <c r="G32" s="194">
        <f t="shared" si="2"/>
        <v>49</v>
      </c>
      <c r="H32" s="195">
        <f>'Year 1'!$H$32</f>
        <v>3.0000000000000001E-3</v>
      </c>
      <c r="I32" s="196"/>
      <c r="J32" s="198">
        <f t="shared" si="0"/>
        <v>0</v>
      </c>
      <c r="K32" s="198">
        <f t="shared" si="1"/>
        <v>0</v>
      </c>
    </row>
    <row r="33" spans="1:11" ht="15.6" x14ac:dyDescent="0.3">
      <c r="A33" s="2"/>
      <c r="B33" s="190" t="s">
        <v>57</v>
      </c>
      <c r="C33" s="191"/>
      <c r="D33" s="192">
        <v>0</v>
      </c>
      <c r="E33" s="193" t="s">
        <v>58</v>
      </c>
      <c r="F33" s="192">
        <v>4</v>
      </c>
      <c r="G33" s="194">
        <f t="shared" si="2"/>
        <v>560</v>
      </c>
      <c r="H33" s="195">
        <f>'Year 1'!$H$33</f>
        <v>1.5</v>
      </c>
      <c r="I33" s="196"/>
      <c r="J33" s="198">
        <f t="shared" si="0"/>
        <v>0</v>
      </c>
      <c r="K33" s="198">
        <f t="shared" si="1"/>
        <v>0</v>
      </c>
    </row>
    <row r="34" spans="1:11" ht="15.6" x14ac:dyDescent="0.3">
      <c r="A34" s="2"/>
      <c r="B34" s="190" t="s">
        <v>59</v>
      </c>
      <c r="C34" s="191"/>
      <c r="D34" s="192">
        <v>1</v>
      </c>
      <c r="E34" s="193" t="s">
        <v>53</v>
      </c>
      <c r="F34" s="192">
        <v>0.2</v>
      </c>
      <c r="G34" s="194">
        <f t="shared" si="2"/>
        <v>28</v>
      </c>
      <c r="H34" s="195">
        <f>'Year 1'!$H$34</f>
        <v>0.88</v>
      </c>
      <c r="I34" s="196"/>
      <c r="J34" s="198">
        <f t="shared" si="0"/>
        <v>0.17600000000000002</v>
      </c>
      <c r="K34" s="198">
        <f t="shared" si="1"/>
        <v>24.64</v>
      </c>
    </row>
    <row r="35" spans="1:11" ht="15.6" x14ac:dyDescent="0.3">
      <c r="A35" s="2"/>
      <c r="B35" s="190" t="s">
        <v>60</v>
      </c>
      <c r="C35" s="191"/>
      <c r="D35" s="192">
        <v>1</v>
      </c>
      <c r="E35" s="193" t="s">
        <v>53</v>
      </c>
      <c r="F35" s="192">
        <v>0.5</v>
      </c>
      <c r="G35" s="194">
        <f t="shared" si="2"/>
        <v>70</v>
      </c>
      <c r="H35" s="195">
        <f>'Year 1'!$H$35</f>
        <v>1</v>
      </c>
      <c r="I35" s="196"/>
      <c r="J35" s="198">
        <f t="shared" si="0"/>
        <v>0.5</v>
      </c>
      <c r="K35" s="198">
        <f t="shared" si="1"/>
        <v>70</v>
      </c>
    </row>
    <row r="36" spans="1:11" ht="15.6" x14ac:dyDescent="0.3">
      <c r="A36" s="2"/>
      <c r="B36" s="190" t="s">
        <v>61</v>
      </c>
      <c r="C36" s="191"/>
      <c r="D36" s="192">
        <v>3</v>
      </c>
      <c r="E36" s="193" t="s">
        <v>53</v>
      </c>
      <c r="F36" s="192">
        <v>0.15</v>
      </c>
      <c r="G36" s="194">
        <f t="shared" si="2"/>
        <v>21</v>
      </c>
      <c r="H36" s="195">
        <f>'Year 1'!$H$36</f>
        <v>2.7792000000000003</v>
      </c>
      <c r="I36" s="196"/>
      <c r="J36" s="198">
        <f t="shared" si="0"/>
        <v>1.2506400000000002</v>
      </c>
      <c r="K36" s="198">
        <f t="shared" si="1"/>
        <v>175.08960000000002</v>
      </c>
    </row>
    <row r="37" spans="1:11" ht="15.6" x14ac:dyDescent="0.3">
      <c r="A37" s="2"/>
      <c r="B37" s="199" t="s">
        <v>62</v>
      </c>
      <c r="C37" s="200"/>
      <c r="D37" s="201">
        <v>1</v>
      </c>
      <c r="E37" s="193" t="s">
        <v>53</v>
      </c>
      <c r="F37" s="201">
        <v>2</v>
      </c>
      <c r="G37" s="203">
        <f t="shared" si="2"/>
        <v>280</v>
      </c>
      <c r="H37" s="204">
        <f>'Year 1'!$H$37</f>
        <v>0.14000000000000001</v>
      </c>
      <c r="I37" s="205"/>
      <c r="J37" s="207">
        <f t="shared" si="0"/>
        <v>0.28000000000000003</v>
      </c>
      <c r="K37" s="207">
        <f t="shared" si="1"/>
        <v>39.200000000000003</v>
      </c>
    </row>
    <row r="38" spans="1:11" ht="15.6" x14ac:dyDescent="0.3">
      <c r="A38" s="2"/>
      <c r="B38" s="21" t="s">
        <v>47</v>
      </c>
      <c r="C38" s="208"/>
      <c r="D38" s="209"/>
      <c r="E38" s="209"/>
      <c r="F38" s="209"/>
      <c r="G38" s="209"/>
      <c r="H38" s="217"/>
      <c r="I38" s="23"/>
      <c r="J38" s="23"/>
      <c r="K38" s="211">
        <f>SUM(K30:K37)</f>
        <v>665.08960000000002</v>
      </c>
    </row>
    <row r="39" spans="1:11" ht="15.6" x14ac:dyDescent="0.3">
      <c r="A39" s="2"/>
      <c r="B39" s="176" t="s">
        <v>63</v>
      </c>
      <c r="C39" s="177"/>
      <c r="D39" s="178"/>
      <c r="E39" s="178"/>
      <c r="F39" s="178"/>
      <c r="G39" s="178"/>
      <c r="H39" s="216"/>
      <c r="I39" s="179"/>
      <c r="J39" s="179"/>
      <c r="K39" s="180"/>
    </row>
    <row r="40" spans="1:11" ht="15.6" x14ac:dyDescent="0.3">
      <c r="A40" s="2"/>
      <c r="B40" s="181" t="s">
        <v>64</v>
      </c>
      <c r="C40" s="182"/>
      <c r="D40" s="183">
        <v>5</v>
      </c>
      <c r="E40" s="184" t="s">
        <v>56</v>
      </c>
      <c r="F40" s="218">
        <v>8.0000000000000002E-3</v>
      </c>
      <c r="G40" s="213">
        <f>F40*$D$5</f>
        <v>1.1200000000000001</v>
      </c>
      <c r="H40" s="186">
        <f>'Year 1'!$H$40</f>
        <v>9.75</v>
      </c>
      <c r="I40" s="187"/>
      <c r="J40" s="188">
        <f>K40/$D$5</f>
        <v>0.39000000000000007</v>
      </c>
      <c r="K40" s="189">
        <f>H40*G40*D40</f>
        <v>54.600000000000009</v>
      </c>
    </row>
    <row r="41" spans="1:11" ht="15.6" x14ac:dyDescent="0.3">
      <c r="A41" s="2"/>
      <c r="B41" s="219" t="s">
        <v>65</v>
      </c>
      <c r="C41" s="191"/>
      <c r="D41" s="192">
        <v>0</v>
      </c>
      <c r="E41" s="193" t="s">
        <v>56</v>
      </c>
      <c r="F41" s="220">
        <v>0.03</v>
      </c>
      <c r="G41" s="214">
        <f>F41*$D$5</f>
        <v>4.2</v>
      </c>
      <c r="H41" s="195">
        <f>'Year 1'!$H$41</f>
        <v>0</v>
      </c>
      <c r="I41" s="196"/>
      <c r="J41" s="197">
        <f>K41/$D$5</f>
        <v>0</v>
      </c>
      <c r="K41" s="198">
        <f>H41*G41*D41</f>
        <v>0</v>
      </c>
    </row>
    <row r="42" spans="1:11" ht="15.6" x14ac:dyDescent="0.3">
      <c r="A42" s="2"/>
      <c r="B42" s="221" t="s">
        <v>65</v>
      </c>
      <c r="C42" s="200"/>
      <c r="D42" s="201">
        <v>0</v>
      </c>
      <c r="E42" s="202" t="s">
        <v>56</v>
      </c>
      <c r="F42" s="222">
        <v>0.03</v>
      </c>
      <c r="G42" s="215">
        <f>F42*$D$5</f>
        <v>4.2</v>
      </c>
      <c r="H42" s="204">
        <f>'Year 1'!$H$42</f>
        <v>0</v>
      </c>
      <c r="I42" s="205"/>
      <c r="J42" s="206">
        <f>K42/$D$5</f>
        <v>0</v>
      </c>
      <c r="K42" s="207">
        <f>H42*G42*D42</f>
        <v>0</v>
      </c>
    </row>
    <row r="43" spans="1:11" ht="15.6" x14ac:dyDescent="0.3">
      <c r="A43" s="2"/>
      <c r="B43" s="21" t="s">
        <v>47</v>
      </c>
      <c r="C43" s="208"/>
      <c r="D43" s="209"/>
      <c r="E43" s="209"/>
      <c r="F43" s="209"/>
      <c r="G43" s="209"/>
      <c r="H43" s="217"/>
      <c r="I43" s="23"/>
      <c r="J43" s="23"/>
      <c r="K43" s="211">
        <f>SUM(K40:K42)</f>
        <v>54.600000000000009</v>
      </c>
    </row>
    <row r="44" spans="1:11" ht="15.6" x14ac:dyDescent="0.3">
      <c r="A44" s="11"/>
      <c r="B44" s="176" t="s">
        <v>66</v>
      </c>
      <c r="C44" s="177"/>
      <c r="D44" s="178"/>
      <c r="E44" s="178"/>
      <c r="F44" s="178"/>
      <c r="G44" s="178"/>
      <c r="H44" s="212"/>
      <c r="I44" s="179"/>
      <c r="J44" s="179"/>
      <c r="K44" s="180"/>
    </row>
    <row r="45" spans="1:11" ht="15.6" x14ac:dyDescent="0.3">
      <c r="A45" s="2"/>
      <c r="B45" s="190" t="s">
        <v>68</v>
      </c>
      <c r="C45" s="223"/>
      <c r="D45" s="183">
        <v>7</v>
      </c>
      <c r="E45" s="193" t="s">
        <v>56</v>
      </c>
      <c r="F45" s="224">
        <f>IF(D45=0,0,$D$11/100*'Year 1'!$C45/$D$5)</f>
        <v>1.0714285714285714E-2</v>
      </c>
      <c r="G45" s="194">
        <f>F45*$D$5</f>
        <v>1.5</v>
      </c>
      <c r="H45" s="195">
        <f>'Year 1'!$H$45</f>
        <v>7.65</v>
      </c>
      <c r="I45" s="196"/>
      <c r="J45" s="198">
        <f>K45/$D$5</f>
        <v>0.57375000000000009</v>
      </c>
      <c r="K45" s="198">
        <f>H45*G45*D45</f>
        <v>80.325000000000017</v>
      </c>
    </row>
    <row r="46" spans="1:11" ht="15.6" x14ac:dyDescent="0.3">
      <c r="A46" s="2"/>
      <c r="B46" s="190" t="s">
        <v>69</v>
      </c>
      <c r="C46" s="223"/>
      <c r="D46" s="192">
        <v>4</v>
      </c>
      <c r="E46" s="193" t="s">
        <v>56</v>
      </c>
      <c r="F46" s="224">
        <f>IF(D46=0,0,$D$11/100*'Year 1'!$C46/$D$5)</f>
        <v>7.1428571428571426E-3</v>
      </c>
      <c r="G46" s="194">
        <f>F46*$D$5</f>
        <v>1</v>
      </c>
      <c r="H46" s="195">
        <f>'Year 1'!$H$46</f>
        <v>17.82</v>
      </c>
      <c r="I46" s="196"/>
      <c r="J46" s="198">
        <f>K46/$D$5</f>
        <v>0.50914285714285712</v>
      </c>
      <c r="K46" s="198">
        <f>H46*G46*D46</f>
        <v>71.28</v>
      </c>
    </row>
    <row r="47" spans="1:11" ht="15.6" x14ac:dyDescent="0.3">
      <c r="A47" s="2"/>
      <c r="B47" s="190" t="s">
        <v>70</v>
      </c>
      <c r="C47" s="223"/>
      <c r="D47" s="192">
        <v>2</v>
      </c>
      <c r="E47" s="193" t="s">
        <v>56</v>
      </c>
      <c r="F47" s="224">
        <f>IF(D47=0,0,$D$11/100*'Year 1'!$C47/$D$5)</f>
        <v>2.7142857142857142E-3</v>
      </c>
      <c r="G47" s="194">
        <f>F47*$D$5</f>
        <v>0.38</v>
      </c>
      <c r="H47" s="195">
        <f>'Year 1'!$H$47</f>
        <v>82.72</v>
      </c>
      <c r="I47" s="196"/>
      <c r="J47" s="198">
        <f>K47/$D$5</f>
        <v>0.44905142857142855</v>
      </c>
      <c r="K47" s="198">
        <f>H47*G47*D47</f>
        <v>62.867199999999997</v>
      </c>
    </row>
    <row r="48" spans="1:11" ht="15.6" x14ac:dyDescent="0.3">
      <c r="A48" s="2"/>
      <c r="B48" s="190" t="s">
        <v>71</v>
      </c>
      <c r="C48" s="223"/>
      <c r="D48" s="201">
        <v>3</v>
      </c>
      <c r="E48" s="193" t="s">
        <v>56</v>
      </c>
      <c r="F48" s="224">
        <f>IF(D48=0,0,$D$11/100*'Year 1'!$C48/$D$5)</f>
        <v>5.3571428571428572E-3</v>
      </c>
      <c r="G48" s="194">
        <f>F48*$D$5</f>
        <v>0.75</v>
      </c>
      <c r="H48" s="195">
        <f>'Year 1'!$H$48</f>
        <v>8.1999999999999993</v>
      </c>
      <c r="I48" s="196"/>
      <c r="J48" s="198">
        <f>K48/$D$5</f>
        <v>0.13178571428571428</v>
      </c>
      <c r="K48" s="198">
        <f>H48*G48*D48</f>
        <v>18.45</v>
      </c>
    </row>
    <row r="49" spans="1:11" ht="15.6" x14ac:dyDescent="0.3">
      <c r="A49" s="2"/>
      <c r="B49" s="21" t="s">
        <v>47</v>
      </c>
      <c r="C49" s="208"/>
      <c r="D49" s="209"/>
      <c r="E49" s="209"/>
      <c r="F49" s="209"/>
      <c r="G49" s="209"/>
      <c r="H49" s="210"/>
      <c r="I49" s="23"/>
      <c r="J49" s="23"/>
      <c r="K49" s="211">
        <f>SUM(K45:K48)</f>
        <v>232.9222</v>
      </c>
    </row>
    <row r="50" spans="1:11" ht="15.6" x14ac:dyDescent="0.3">
      <c r="A50" s="2"/>
      <c r="B50" s="176" t="s">
        <v>72</v>
      </c>
      <c r="C50" s="177"/>
      <c r="D50" s="178"/>
      <c r="E50" s="178"/>
      <c r="F50" s="178"/>
      <c r="G50" s="178"/>
      <c r="H50" s="216"/>
      <c r="I50" s="179"/>
      <c r="J50" s="179"/>
      <c r="K50" s="180"/>
    </row>
    <row r="51" spans="1:11" ht="15.6" x14ac:dyDescent="0.3">
      <c r="A51" s="2"/>
      <c r="B51" s="181" t="s">
        <v>73</v>
      </c>
      <c r="C51" s="225"/>
      <c r="D51" s="226">
        <v>11</v>
      </c>
      <c r="E51" s="193" t="s">
        <v>53</v>
      </c>
      <c r="F51" s="224">
        <f>IF(D51=0,0,$D$11/100*'Year 1'!$C51/$D$5)</f>
        <v>1.4285714285714285E-2</v>
      </c>
      <c r="G51" s="213">
        <f>F51*$D$5</f>
        <v>2</v>
      </c>
      <c r="H51" s="186">
        <f>'Year 1'!$H$51</f>
        <v>6.33</v>
      </c>
      <c r="I51" s="187"/>
      <c r="J51" s="188">
        <f>K51/$D$5</f>
        <v>0.99471428571428566</v>
      </c>
      <c r="K51" s="189">
        <f>H51*G51*D51</f>
        <v>139.26</v>
      </c>
    </row>
    <row r="52" spans="1:11" ht="15.6" x14ac:dyDescent="0.3">
      <c r="A52" s="2"/>
      <c r="B52" s="219" t="s">
        <v>74</v>
      </c>
      <c r="C52" s="227"/>
      <c r="D52" s="228">
        <v>2</v>
      </c>
      <c r="E52" s="193" t="s">
        <v>56</v>
      </c>
      <c r="F52" s="308">
        <v>0.18</v>
      </c>
      <c r="G52" s="214">
        <f>F52*$D$5</f>
        <v>25.2</v>
      </c>
      <c r="H52" s="195">
        <f>'Year 1'!$H$52</f>
        <v>2.2000000000000002</v>
      </c>
      <c r="I52" s="196"/>
      <c r="J52" s="197">
        <f>K52/$D$5</f>
        <v>0.79200000000000004</v>
      </c>
      <c r="K52" s="198">
        <f>H52*G52*D52</f>
        <v>110.88000000000001</v>
      </c>
    </row>
    <row r="53" spans="1:11" ht="15.6" x14ac:dyDescent="0.3">
      <c r="A53" s="2"/>
      <c r="B53" s="221" t="s">
        <v>65</v>
      </c>
      <c r="C53" s="229"/>
      <c r="D53" s="230">
        <v>0</v>
      </c>
      <c r="E53" s="193" t="s">
        <v>53</v>
      </c>
      <c r="F53" s="224">
        <f>IF(D53=0,0,$D$11/100*'Year 1'!$C53/$D$5)</f>
        <v>0</v>
      </c>
      <c r="G53" s="215">
        <f>F53*$D$5</f>
        <v>0</v>
      </c>
      <c r="H53" s="204">
        <f>'Year 1'!$H$53</f>
        <v>0</v>
      </c>
      <c r="I53" s="205"/>
      <c r="J53" s="206">
        <f>K53/$D$5</f>
        <v>0</v>
      </c>
      <c r="K53" s="207">
        <f>H53*G53*D53</f>
        <v>0</v>
      </c>
    </row>
    <row r="54" spans="1:11" ht="15.6" x14ac:dyDescent="0.3">
      <c r="A54" s="2"/>
      <c r="B54" s="21" t="s">
        <v>47</v>
      </c>
      <c r="C54" s="208"/>
      <c r="D54" s="209"/>
      <c r="E54" s="209"/>
      <c r="F54" s="209"/>
      <c r="G54" s="209"/>
      <c r="H54" s="217"/>
      <c r="I54" s="23"/>
      <c r="J54" s="23"/>
      <c r="K54" s="211">
        <f>SUM(K51:K53)</f>
        <v>250.14</v>
      </c>
    </row>
    <row r="55" spans="1:11" ht="15.6" x14ac:dyDescent="0.3">
      <c r="A55" s="2"/>
      <c r="B55" s="176" t="s">
        <v>65</v>
      </c>
      <c r="C55" s="177"/>
      <c r="D55" s="178"/>
      <c r="E55" s="178"/>
      <c r="F55" s="178"/>
      <c r="G55" s="178"/>
      <c r="H55" s="216"/>
      <c r="I55" s="179"/>
      <c r="J55" s="179"/>
      <c r="K55" s="180"/>
    </row>
    <row r="56" spans="1:11" ht="15.6" x14ac:dyDescent="0.3">
      <c r="A56" s="2"/>
      <c r="B56" s="181" t="s">
        <v>75</v>
      </c>
      <c r="C56" s="182"/>
      <c r="D56" s="185" t="s">
        <v>44</v>
      </c>
      <c r="E56" s="184" t="s">
        <v>76</v>
      </c>
      <c r="F56" s="185" t="s">
        <v>44</v>
      </c>
      <c r="G56" s="309">
        <v>8.0500000000000007</v>
      </c>
      <c r="H56" s="186">
        <f>'Year 1'!$H$56</f>
        <v>30</v>
      </c>
      <c r="I56" s="187"/>
      <c r="J56" s="188">
        <f>K56/$D$5</f>
        <v>1.7250000000000003</v>
      </c>
      <c r="K56" s="189">
        <f>H56*G56</f>
        <v>241.50000000000003</v>
      </c>
    </row>
    <row r="57" spans="1:11" ht="15.6" x14ac:dyDescent="0.3">
      <c r="A57" s="2"/>
      <c r="B57" s="221" t="s">
        <v>77</v>
      </c>
      <c r="C57" s="200"/>
      <c r="D57" s="203" t="s">
        <v>44</v>
      </c>
      <c r="E57" s="202" t="s">
        <v>43</v>
      </c>
      <c r="F57" s="203" t="s">
        <v>44</v>
      </c>
      <c r="G57" s="310">
        <v>0</v>
      </c>
      <c r="H57" s="204">
        <f>'Year 1'!$H$57</f>
        <v>11</v>
      </c>
      <c r="I57" s="205"/>
      <c r="J57" s="206">
        <f>K57/$D$5</f>
        <v>0</v>
      </c>
      <c r="K57" s="207">
        <f>H57*G57</f>
        <v>0</v>
      </c>
    </row>
    <row r="58" spans="1:11" ht="15.6" x14ac:dyDescent="0.3">
      <c r="A58" s="2"/>
      <c r="B58" s="231" t="s">
        <v>78</v>
      </c>
      <c r="C58" s="232"/>
      <c r="D58" s="233"/>
      <c r="E58" s="233"/>
      <c r="F58" s="233"/>
      <c r="G58" s="233"/>
      <c r="H58" s="233"/>
      <c r="I58" s="235"/>
      <c r="J58" s="235">
        <f>SUM(J20:J57)</f>
        <v>16.822870000000002</v>
      </c>
      <c r="K58" s="236">
        <f>K57+K56+K54+K49+K43+K38+K28+K23</f>
        <v>2355.2018000000003</v>
      </c>
    </row>
    <row r="59" spans="1:11" ht="15.6" x14ac:dyDescent="0.3">
      <c r="A59" s="2"/>
      <c r="B59" s="2"/>
      <c r="C59" s="2"/>
      <c r="D59" s="2"/>
      <c r="E59" s="2"/>
      <c r="F59" s="2"/>
      <c r="G59" s="2"/>
      <c r="H59" s="2"/>
      <c r="I59" s="2"/>
      <c r="J59" s="2"/>
      <c r="K59" s="2"/>
    </row>
    <row r="60" spans="1:11" ht="15.6" x14ac:dyDescent="0.3">
      <c r="A60" s="2"/>
      <c r="B60" s="231" t="s">
        <v>79</v>
      </c>
      <c r="C60" s="232"/>
      <c r="D60" s="233"/>
      <c r="E60" s="233"/>
      <c r="F60" s="233"/>
      <c r="G60" s="233"/>
      <c r="H60" s="233"/>
      <c r="I60" s="235"/>
      <c r="J60" s="235"/>
      <c r="K60" s="237"/>
    </row>
    <row r="61" spans="1:11" ht="15.6" x14ac:dyDescent="0.3">
      <c r="A61" s="2"/>
      <c r="B61" s="181" t="s">
        <v>80</v>
      </c>
      <c r="C61" s="182"/>
      <c r="D61" s="183">
        <v>144</v>
      </c>
      <c r="E61" s="238"/>
      <c r="F61" s="238"/>
      <c r="G61" s="238"/>
      <c r="H61" s="238"/>
      <c r="I61" s="187"/>
      <c r="J61" s="187"/>
      <c r="K61" s="239"/>
    </row>
    <row r="62" spans="1:11" ht="15.6" x14ac:dyDescent="0.3">
      <c r="A62" s="2"/>
      <c r="B62" s="190" t="s">
        <v>81</v>
      </c>
      <c r="C62" s="191"/>
      <c r="D62" s="201">
        <v>99</v>
      </c>
      <c r="E62" s="240"/>
      <c r="F62" s="240"/>
      <c r="G62" s="240"/>
      <c r="H62" s="240"/>
      <c r="I62" s="196"/>
      <c r="J62" s="196"/>
      <c r="K62" s="241"/>
    </row>
    <row r="63" spans="1:11" ht="15.6" x14ac:dyDescent="0.3">
      <c r="A63" s="2"/>
      <c r="B63" s="190" t="s">
        <v>82</v>
      </c>
      <c r="C63" s="191"/>
      <c r="D63" s="194">
        <f>'Price and Yields'!$E$11*'Year 10'!$D$7</f>
        <v>11.200000000000001</v>
      </c>
      <c r="E63" s="240" t="s">
        <v>83</v>
      </c>
      <c r="F63" s="240"/>
      <c r="G63" s="240"/>
      <c r="H63" s="240"/>
      <c r="I63" s="196"/>
      <c r="J63" s="196"/>
      <c r="K63" s="241"/>
    </row>
    <row r="64" spans="1:11" ht="15.6" x14ac:dyDescent="0.3">
      <c r="A64" s="2"/>
      <c r="B64" s="190" t="s">
        <v>84</v>
      </c>
      <c r="C64" s="191"/>
      <c r="D64" s="194">
        <f>'Price and Yields'!$E$12*'Year 10'!$D$7</f>
        <v>0</v>
      </c>
      <c r="E64" s="240" t="s">
        <v>83</v>
      </c>
      <c r="F64" s="240"/>
      <c r="G64" s="240"/>
      <c r="H64" s="240"/>
      <c r="I64" s="196"/>
      <c r="J64" s="196"/>
      <c r="K64" s="241"/>
    </row>
    <row r="65" spans="1:11" ht="15.6" x14ac:dyDescent="0.3">
      <c r="A65" s="2"/>
      <c r="B65" s="190" t="s">
        <v>85</v>
      </c>
      <c r="C65" s="191"/>
      <c r="D65" s="194">
        <f>'Price and Yields'!$E$13*'Year 10'!$D$7</f>
        <v>2.8000000000000003</v>
      </c>
      <c r="E65" s="240" t="s">
        <v>83</v>
      </c>
      <c r="F65" s="240"/>
      <c r="G65" s="240"/>
      <c r="H65" s="240"/>
      <c r="I65" s="196"/>
      <c r="J65" s="196"/>
      <c r="K65" s="241"/>
    </row>
    <row r="66" spans="1:11" ht="15.6" x14ac:dyDescent="0.3">
      <c r="A66" s="2"/>
      <c r="B66" s="199" t="s">
        <v>86</v>
      </c>
      <c r="C66" s="200"/>
      <c r="D66" s="203">
        <f>'Price and Yields'!E14*'Year 10'!D7</f>
        <v>0</v>
      </c>
      <c r="E66" s="242" t="s">
        <v>83</v>
      </c>
      <c r="F66" s="242"/>
      <c r="G66" s="242"/>
      <c r="H66" s="242"/>
      <c r="I66" s="205"/>
      <c r="J66" s="205"/>
      <c r="K66" s="243"/>
    </row>
    <row r="67" spans="1:11" ht="15.6" x14ac:dyDescent="0.3">
      <c r="A67" s="2"/>
      <c r="B67" s="176"/>
      <c r="C67" s="177"/>
      <c r="D67" s="244"/>
      <c r="E67" s="178"/>
      <c r="F67" s="178"/>
      <c r="G67" s="178"/>
      <c r="H67" s="178"/>
      <c r="I67" s="179"/>
      <c r="J67" s="179"/>
      <c r="K67" s="180"/>
    </row>
    <row r="68" spans="1:11" ht="31.2" x14ac:dyDescent="0.3">
      <c r="A68" s="11"/>
      <c r="B68" s="231" t="s">
        <v>87</v>
      </c>
      <c r="C68" s="14"/>
      <c r="D68" s="173" t="s">
        <v>88</v>
      </c>
      <c r="E68" s="173" t="s">
        <v>89</v>
      </c>
      <c r="F68" s="173" t="s">
        <v>28</v>
      </c>
      <c r="G68" s="173" t="s">
        <v>90</v>
      </c>
      <c r="H68" s="173"/>
      <c r="I68" s="174" t="s">
        <v>29</v>
      </c>
      <c r="J68" s="174" t="s">
        <v>30</v>
      </c>
      <c r="K68" s="175" t="s">
        <v>31</v>
      </c>
    </row>
    <row r="69" spans="1:11" ht="15.6" x14ac:dyDescent="0.3">
      <c r="A69" s="2"/>
      <c r="B69" s="181" t="s">
        <v>91</v>
      </c>
      <c r="C69" s="182"/>
      <c r="D69" s="245">
        <v>60</v>
      </c>
      <c r="E69" s="246">
        <v>6</v>
      </c>
      <c r="F69" s="247">
        <f>($D$63+$D$64+$D$65+$D$66)*$D$5</f>
        <v>1960.0000000000002</v>
      </c>
      <c r="G69" s="248">
        <f>'Farm Parameters'!$D$10</f>
        <v>11</v>
      </c>
      <c r="H69" s="238"/>
      <c r="I69" s="188">
        <f>IF(ISERROR(J69/($D$63+$D$64+$D$65)),0,J69/($D$63+$D$64+$D$65))</f>
        <v>1.1000000000000001</v>
      </c>
      <c r="J69" s="189">
        <f>K69/$D$5</f>
        <v>15.400000000000004</v>
      </c>
      <c r="K69" s="249">
        <f>G69*E69*F69/D69</f>
        <v>2156.0000000000005</v>
      </c>
    </row>
    <row r="70" spans="1:11" ht="15.6" x14ac:dyDescent="0.3">
      <c r="A70" s="2"/>
      <c r="B70" s="190" t="s">
        <v>92</v>
      </c>
      <c r="C70" s="191"/>
      <c r="D70" s="250">
        <v>90</v>
      </c>
      <c r="E70" s="251">
        <v>6</v>
      </c>
      <c r="F70" s="252">
        <f>($D$63+$D$64)*$D$5</f>
        <v>1568.0000000000002</v>
      </c>
      <c r="G70" s="253">
        <f>'Farm Parameters'!$D$10</f>
        <v>11</v>
      </c>
      <c r="H70" s="240"/>
      <c r="I70" s="197">
        <f>IF(ISERROR(J70/($D$63+$D$64)),0,J70/($D$63+$D$64))</f>
        <v>0.73333333333333339</v>
      </c>
      <c r="J70" s="198">
        <f>K70/$D$5</f>
        <v>8.2133333333333347</v>
      </c>
      <c r="K70" s="255">
        <f>G70*E70*F70/D70</f>
        <v>1149.8666666666668</v>
      </c>
    </row>
    <row r="71" spans="1:11" ht="15.6" x14ac:dyDescent="0.3">
      <c r="A71" s="2"/>
      <c r="B71" s="190" t="s">
        <v>93</v>
      </c>
      <c r="C71" s="191"/>
      <c r="D71" s="256">
        <v>90</v>
      </c>
      <c r="E71" s="257">
        <v>6</v>
      </c>
      <c r="F71" s="258">
        <f>($D$65)*'Price and Yields'!$E$8/'Price and Yields'!$E$6*$D$5</f>
        <v>225.4</v>
      </c>
      <c r="G71" s="259">
        <f>'Farm Parameters'!$D$10</f>
        <v>11</v>
      </c>
      <c r="H71" s="240"/>
      <c r="I71" s="197">
        <f>IF(ISERROR(J71/($D$65)),0,J71/($D$65))</f>
        <v>0.42166666666666658</v>
      </c>
      <c r="J71" s="198">
        <f>K71/$D$5</f>
        <v>1.1806666666666665</v>
      </c>
      <c r="K71" s="255">
        <f>G71*E71*F71/D71</f>
        <v>165.29333333333332</v>
      </c>
    </row>
    <row r="72" spans="1:11" ht="15.6" x14ac:dyDescent="0.3">
      <c r="A72" s="2"/>
      <c r="B72" s="190" t="s">
        <v>94</v>
      </c>
      <c r="C72" s="191"/>
      <c r="D72" s="240"/>
      <c r="E72" s="240"/>
      <c r="F72" s="240"/>
      <c r="G72" s="240"/>
      <c r="H72" s="240"/>
      <c r="I72" s="254">
        <f>'Year 1'!$I$72</f>
        <v>1.35E-2</v>
      </c>
      <c r="J72" s="255">
        <f t="shared" ref="J72:J77" si="3">K72/$D$5</f>
        <v>0.189</v>
      </c>
      <c r="K72" s="255">
        <f t="shared" ref="K72:K77" si="4">I72*$D$7*$D$5</f>
        <v>26.46</v>
      </c>
    </row>
    <row r="73" spans="1:11" ht="15.6" x14ac:dyDescent="0.3">
      <c r="A73" s="2"/>
      <c r="B73" s="190" t="s">
        <v>95</v>
      </c>
      <c r="C73" s="191"/>
      <c r="D73" s="240"/>
      <c r="E73" s="240"/>
      <c r="F73" s="240"/>
      <c r="G73" s="240"/>
      <c r="H73" s="240"/>
      <c r="I73" s="254">
        <f>'Year 1'!$I$73</f>
        <v>0</v>
      </c>
      <c r="J73" s="255">
        <f t="shared" si="3"/>
        <v>0</v>
      </c>
      <c r="K73" s="255">
        <f t="shared" si="4"/>
        <v>0</v>
      </c>
    </row>
    <row r="74" spans="1:11" ht="15.6" x14ac:dyDescent="0.3">
      <c r="A74" s="2"/>
      <c r="B74" s="190" t="s">
        <v>96</v>
      </c>
      <c r="C74" s="191"/>
      <c r="D74" s="240"/>
      <c r="E74" s="240"/>
      <c r="F74" s="240"/>
      <c r="G74" s="240"/>
      <c r="H74" s="240"/>
      <c r="I74" s="254">
        <f>'Year 1'!$I$74</f>
        <v>1.65</v>
      </c>
      <c r="J74" s="255">
        <f>I74*(D63+D64)</f>
        <v>18.48</v>
      </c>
      <c r="K74" s="255">
        <f>J74*$D$5</f>
        <v>2587.2000000000003</v>
      </c>
    </row>
    <row r="75" spans="1:11" ht="15.6" x14ac:dyDescent="0.3">
      <c r="A75" s="2"/>
      <c r="B75" s="190" t="s">
        <v>97</v>
      </c>
      <c r="C75" s="191"/>
      <c r="D75" s="240"/>
      <c r="E75" s="240"/>
      <c r="F75" s="240"/>
      <c r="G75" s="240"/>
      <c r="H75" s="240"/>
      <c r="I75" s="254">
        <f>'Year 1'!$I$75</f>
        <v>1.38</v>
      </c>
      <c r="J75" s="255">
        <f>I75*($D$65)*'Price and Yields'!$E$8/'Price and Yields'!$E$6</f>
        <v>2.2218</v>
      </c>
      <c r="K75" s="255">
        <f>J75*$D$5</f>
        <v>311.05200000000002</v>
      </c>
    </row>
    <row r="76" spans="1:11" ht="15.6" x14ac:dyDescent="0.3">
      <c r="A76" s="2"/>
      <c r="B76" s="190" t="s">
        <v>98</v>
      </c>
      <c r="C76" s="191"/>
      <c r="D76" s="240"/>
      <c r="E76" s="240"/>
      <c r="F76" s="240"/>
      <c r="G76" s="240"/>
      <c r="H76" s="240"/>
      <c r="I76" s="254">
        <f>'Year 1'!$I$76</f>
        <v>0.02</v>
      </c>
      <c r="J76" s="255">
        <f t="shared" si="3"/>
        <v>0.28000000000000003</v>
      </c>
      <c r="K76" s="255">
        <f t="shared" si="4"/>
        <v>39.200000000000003</v>
      </c>
    </row>
    <row r="77" spans="1:11" ht="15.6" x14ac:dyDescent="0.3">
      <c r="A77" s="2"/>
      <c r="B77" s="190" t="s">
        <v>99</v>
      </c>
      <c r="C77" s="191"/>
      <c r="D77" s="240"/>
      <c r="E77" s="240"/>
      <c r="F77" s="240"/>
      <c r="G77" s="240"/>
      <c r="H77" s="240"/>
      <c r="I77" s="254">
        <f>'Year 1'!$I$77</f>
        <v>0.05</v>
      </c>
      <c r="J77" s="255">
        <f t="shared" si="3"/>
        <v>0.70000000000000007</v>
      </c>
      <c r="K77" s="255">
        <f t="shared" si="4"/>
        <v>98.000000000000014</v>
      </c>
    </row>
    <row r="78" spans="1:11" ht="15.6" x14ac:dyDescent="0.3">
      <c r="A78" s="2"/>
      <c r="B78" s="190" t="s">
        <v>100</v>
      </c>
      <c r="C78" s="19">
        <v>0.125</v>
      </c>
      <c r="D78" s="240"/>
      <c r="E78" s="240"/>
      <c r="F78" s="240"/>
      <c r="G78" s="240"/>
      <c r="H78" s="240"/>
      <c r="I78" s="197">
        <f>C78*'Price and Yields'!$C$16*'Price and Yields'!$E$8</f>
        <v>1.7868750000000002</v>
      </c>
      <c r="J78" s="198">
        <f>I78*(D63+D64+D65)</f>
        <v>25.016250000000007</v>
      </c>
      <c r="K78" s="255">
        <f>J78*D5</f>
        <v>3502.275000000001</v>
      </c>
    </row>
    <row r="79" spans="1:11" ht="15.6" x14ac:dyDescent="0.3">
      <c r="A79" s="2"/>
      <c r="B79" s="199" t="s">
        <v>101</v>
      </c>
      <c r="C79" s="6">
        <v>0.31</v>
      </c>
      <c r="D79" s="242"/>
      <c r="E79" s="242"/>
      <c r="F79" s="242"/>
      <c r="G79" s="242"/>
      <c r="H79" s="242"/>
      <c r="I79" s="206">
        <f>C79</f>
        <v>0.31</v>
      </c>
      <c r="J79" s="207">
        <f>I79*(D63+D64)+I79*(D65*'Price and Yields'!$E$8/'Price and Yields'!$E$6)</f>
        <v>3.9711000000000003</v>
      </c>
      <c r="K79" s="260">
        <f>J79*D5</f>
        <v>555.95400000000006</v>
      </c>
    </row>
    <row r="80" spans="1:11" ht="15.6" x14ac:dyDescent="0.3">
      <c r="A80" s="11"/>
      <c r="B80" s="261" t="s">
        <v>102</v>
      </c>
      <c r="C80" s="262"/>
      <c r="D80" s="263" t="s">
        <v>103</v>
      </c>
      <c r="E80" s="263"/>
      <c r="F80" s="263"/>
      <c r="G80" s="263"/>
      <c r="H80" s="263"/>
      <c r="I80" s="264"/>
      <c r="J80" s="264"/>
      <c r="K80" s="265"/>
    </row>
    <row r="81" spans="1:11" ht="15.6" x14ac:dyDescent="0.3">
      <c r="A81" s="2"/>
      <c r="B81" s="181" t="s">
        <v>104</v>
      </c>
      <c r="C81" s="182"/>
      <c r="D81" s="266">
        <v>145</v>
      </c>
      <c r="E81" s="238"/>
      <c r="F81" s="238"/>
      <c r="G81" s="238"/>
      <c r="H81" s="238"/>
      <c r="I81" s="188">
        <f>D81/$D$61</f>
        <v>1.0069444444444444</v>
      </c>
      <c r="J81" s="189">
        <f>I81*($D$63)</f>
        <v>11.277777777777779</v>
      </c>
      <c r="K81" s="249">
        <f>J81*$D$5</f>
        <v>1578.8888888888889</v>
      </c>
    </row>
    <row r="82" spans="1:11" ht="15.6" x14ac:dyDescent="0.3">
      <c r="A82" s="2"/>
      <c r="B82" s="190" t="s">
        <v>105</v>
      </c>
      <c r="C82" s="191"/>
      <c r="D82" s="267">
        <v>145</v>
      </c>
      <c r="E82" s="240"/>
      <c r="F82" s="240"/>
      <c r="G82" s="240"/>
      <c r="H82" s="240"/>
      <c r="I82" s="197">
        <f>D82/D61</f>
        <v>1.0069444444444444</v>
      </c>
      <c r="J82" s="198">
        <f>I82*($D$64)</f>
        <v>0</v>
      </c>
      <c r="K82" s="255">
        <f>J82*$D$5</f>
        <v>0</v>
      </c>
    </row>
    <row r="83" spans="1:11" ht="15.6" x14ac:dyDescent="0.3">
      <c r="A83" s="2"/>
      <c r="B83" s="199" t="s">
        <v>106</v>
      </c>
      <c r="C83" s="200"/>
      <c r="D83" s="268">
        <v>145</v>
      </c>
      <c r="E83" s="242"/>
      <c r="F83" s="242"/>
      <c r="G83" s="242"/>
      <c r="H83" s="242"/>
      <c r="I83" s="206">
        <f>D83/$D$62</f>
        <v>1.4646464646464648</v>
      </c>
      <c r="J83" s="207">
        <f>I83*($D$65)*'Price and Yields'!$E$8/'Price and Yields'!$E$6</f>
        <v>2.3580808080808087</v>
      </c>
      <c r="K83" s="260">
        <f>J83*$D$5</f>
        <v>330.13131313131322</v>
      </c>
    </row>
    <row r="84" spans="1:11" ht="15.6" x14ac:dyDescent="0.3">
      <c r="A84" s="2"/>
      <c r="B84" s="231" t="s">
        <v>107</v>
      </c>
      <c r="C84" s="232"/>
      <c r="D84" s="233"/>
      <c r="E84" s="233"/>
      <c r="F84" s="233"/>
      <c r="G84" s="233"/>
      <c r="H84" s="233"/>
      <c r="I84" s="235">
        <f>SUM(I69:I83)</f>
        <v>10.943910353535353</v>
      </c>
      <c r="J84" s="235">
        <f>SUM(J69:J83)</f>
        <v>89.28800858585862</v>
      </c>
      <c r="K84" s="237">
        <f>SUM(K69:K83)</f>
        <v>12500.321202020203</v>
      </c>
    </row>
    <row r="85" spans="1:11" ht="15.6" x14ac:dyDescent="0.3">
      <c r="A85" s="2"/>
      <c r="B85" s="2"/>
      <c r="C85" s="162"/>
      <c r="D85" s="162"/>
      <c r="E85" s="162"/>
      <c r="F85" s="162"/>
      <c r="G85" s="162"/>
      <c r="H85" s="162"/>
      <c r="I85" s="164"/>
      <c r="J85" s="164"/>
      <c r="K85" s="164"/>
    </row>
    <row r="86" spans="1:11" ht="15.6" x14ac:dyDescent="0.3">
      <c r="A86" s="2"/>
      <c r="B86" s="231" t="s">
        <v>108</v>
      </c>
      <c r="C86" s="232"/>
      <c r="D86" s="233"/>
      <c r="E86" s="233"/>
      <c r="F86" s="233"/>
      <c r="G86" s="233"/>
      <c r="H86" s="233"/>
      <c r="I86" s="235"/>
      <c r="J86" s="235">
        <f>J84+J58</f>
        <v>106.11087858585861</v>
      </c>
      <c r="K86" s="237">
        <f>K84+K58</f>
        <v>14855.523002020203</v>
      </c>
    </row>
    <row r="87" spans="1:11" ht="15.6" x14ac:dyDescent="0.3">
      <c r="A87" s="2"/>
      <c r="B87" s="269" t="s">
        <v>109</v>
      </c>
      <c r="C87" s="270"/>
      <c r="D87" s="234"/>
      <c r="E87" s="234"/>
      <c r="F87" s="234"/>
      <c r="G87" s="234"/>
      <c r="H87" s="234"/>
      <c r="I87" s="271"/>
      <c r="J87" s="271">
        <f>J14-J86</f>
        <v>94.019121414141409</v>
      </c>
      <c r="K87" s="272">
        <f>K14-K86</f>
        <v>13162.676997979801</v>
      </c>
    </row>
    <row r="88" spans="1:11" ht="15.6" x14ac:dyDescent="0.3">
      <c r="A88" s="2"/>
      <c r="B88" s="2"/>
      <c r="C88" s="162"/>
      <c r="D88" s="273"/>
      <c r="E88" s="273"/>
      <c r="F88" s="273"/>
      <c r="G88" s="273"/>
      <c r="H88" s="273"/>
      <c r="I88" s="164"/>
      <c r="J88" s="164"/>
      <c r="K88" s="164"/>
    </row>
    <row r="89" spans="1:11" ht="15.6" x14ac:dyDescent="0.3">
      <c r="A89" s="2"/>
      <c r="B89" s="2" t="s">
        <v>110</v>
      </c>
      <c r="C89" s="162"/>
      <c r="D89" s="273"/>
      <c r="E89" s="273"/>
      <c r="F89" s="273"/>
      <c r="G89" s="273"/>
      <c r="H89" s="273"/>
      <c r="I89" s="164"/>
      <c r="J89" s="164"/>
      <c r="K89" s="164"/>
    </row>
    <row r="90" spans="1:11" ht="15.6" x14ac:dyDescent="0.3">
      <c r="A90" s="2"/>
      <c r="B90" s="2" t="s">
        <v>111</v>
      </c>
      <c r="C90" s="162"/>
      <c r="D90" s="162"/>
      <c r="E90" s="162"/>
      <c r="F90" s="162"/>
      <c r="G90" s="162"/>
      <c r="H90" s="162"/>
      <c r="I90" s="164"/>
      <c r="J90" s="164"/>
      <c r="K90" s="164"/>
    </row>
  </sheetData>
  <sheetProtection password="8D83" sheet="1" objects="1" scenarios="1"/>
  <phoneticPr fontId="5"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showRowColHeaders="0" zoomScale="75" workbookViewId="0">
      <selection activeCell="Y29" sqref="Y29"/>
    </sheetView>
  </sheetViews>
  <sheetFormatPr defaultRowHeight="13.2" x14ac:dyDescent="0.25"/>
  <cols>
    <col min="2" max="2" width="28.109375" customWidth="1"/>
    <col min="3" max="3" width="25" customWidth="1"/>
    <col min="4" max="11" width="16.44140625" customWidth="1"/>
  </cols>
  <sheetData>
    <row r="1" spans="1:11" ht="24.6" x14ac:dyDescent="0.4">
      <c r="A1" s="161" t="s">
        <v>121</v>
      </c>
      <c r="B1" s="2"/>
      <c r="C1" s="162"/>
      <c r="D1" s="163"/>
      <c r="E1" s="162"/>
      <c r="F1" s="162"/>
      <c r="G1" s="162"/>
      <c r="H1" s="162"/>
      <c r="I1" s="164"/>
      <c r="J1" s="164"/>
      <c r="K1" s="164"/>
    </row>
    <row r="2" spans="1:11" ht="15.6" x14ac:dyDescent="0.3">
      <c r="A2" s="2"/>
      <c r="B2" s="2"/>
      <c r="C2" s="162"/>
      <c r="D2" s="162"/>
      <c r="E2" s="162"/>
      <c r="F2" s="162"/>
      <c r="G2" s="162"/>
      <c r="H2" s="162"/>
      <c r="I2" s="164"/>
      <c r="J2" s="164"/>
      <c r="K2" s="164"/>
    </row>
    <row r="3" spans="1:11" ht="17.399999999999999" x14ac:dyDescent="0.3">
      <c r="A3" s="7" t="s">
        <v>22</v>
      </c>
      <c r="B3" s="2"/>
      <c r="C3" s="162"/>
      <c r="D3" s="162"/>
      <c r="E3" s="162"/>
      <c r="F3" s="162"/>
      <c r="G3" s="162"/>
      <c r="H3" s="162"/>
      <c r="I3" s="164"/>
      <c r="J3" s="164"/>
      <c r="K3" s="164"/>
    </row>
    <row r="4" spans="1:11" ht="17.399999999999999" x14ac:dyDescent="0.3">
      <c r="A4" s="7"/>
      <c r="B4" s="2"/>
      <c r="C4" s="162"/>
      <c r="D4" s="162"/>
      <c r="E4" s="162"/>
      <c r="F4" s="162"/>
      <c r="G4" s="162"/>
      <c r="H4" s="162"/>
      <c r="I4" s="164"/>
      <c r="J4" s="164"/>
      <c r="K4" s="164"/>
    </row>
    <row r="5" spans="1:11" ht="15.6" x14ac:dyDescent="0.3">
      <c r="A5" s="2"/>
      <c r="B5" s="2" t="s">
        <v>23</v>
      </c>
      <c r="C5" s="162"/>
      <c r="D5" s="165">
        <f>'Farm Parameters'!D6</f>
        <v>140</v>
      </c>
      <c r="E5" s="162"/>
      <c r="F5" s="162"/>
      <c r="G5" s="162"/>
      <c r="H5" s="162"/>
      <c r="I5" s="164"/>
      <c r="J5" s="164"/>
      <c r="K5" s="164"/>
    </row>
    <row r="6" spans="1:11" ht="6" customHeight="1" x14ac:dyDescent="0.3">
      <c r="A6" s="2"/>
      <c r="B6" s="2"/>
      <c r="C6" s="162"/>
      <c r="D6" s="166"/>
      <c r="E6" s="162"/>
      <c r="F6" s="162"/>
      <c r="G6" s="162"/>
      <c r="H6" s="162"/>
      <c r="I6" s="164"/>
      <c r="J6" s="164"/>
      <c r="K6" s="164"/>
    </row>
    <row r="7" spans="1:11" ht="15.6" x14ac:dyDescent="0.3">
      <c r="A7" s="2"/>
      <c r="B7" s="2" t="s">
        <v>24</v>
      </c>
      <c r="C7" s="162"/>
      <c r="D7" s="167">
        <f>'Price and Yields'!C31</f>
        <v>14</v>
      </c>
      <c r="E7" s="162"/>
      <c r="F7" s="162"/>
      <c r="G7" s="162"/>
      <c r="H7" s="162"/>
      <c r="I7" s="164"/>
      <c r="J7" s="164"/>
      <c r="K7" s="164"/>
    </row>
    <row r="8" spans="1:11" ht="6" customHeight="1" x14ac:dyDescent="0.3">
      <c r="A8" s="2"/>
      <c r="B8" s="2"/>
      <c r="C8" s="162"/>
      <c r="D8" s="162"/>
      <c r="E8" s="162"/>
      <c r="F8" s="162"/>
      <c r="G8" s="162"/>
      <c r="H8" s="162"/>
      <c r="I8" s="164"/>
      <c r="J8" s="164"/>
      <c r="K8" s="164"/>
    </row>
    <row r="9" spans="1:11" ht="15.6" x14ac:dyDescent="0.3">
      <c r="A9" s="2"/>
      <c r="B9" s="2" t="s">
        <v>25</v>
      </c>
      <c r="C9" s="162"/>
      <c r="D9" s="20">
        <f>'Price and Yields'!$C$16</f>
        <v>2.4860869565217394</v>
      </c>
      <c r="E9" s="162"/>
      <c r="F9" s="162"/>
      <c r="G9" s="162"/>
      <c r="H9" s="162"/>
      <c r="I9" s="164"/>
      <c r="J9" s="164"/>
      <c r="K9" s="164"/>
    </row>
    <row r="10" spans="1:11" ht="6" customHeight="1" x14ac:dyDescent="0.3">
      <c r="A10" s="2"/>
      <c r="B10" s="2"/>
      <c r="C10" s="162"/>
      <c r="D10" s="164"/>
      <c r="E10" s="162"/>
      <c r="F10" s="162"/>
      <c r="G10" s="162"/>
      <c r="H10" s="162"/>
      <c r="I10" s="164"/>
      <c r="J10" s="164"/>
      <c r="K10" s="164"/>
    </row>
    <row r="11" spans="1:11" ht="15.6" x14ac:dyDescent="0.3">
      <c r="A11" s="2"/>
      <c r="B11" s="2" t="s">
        <v>26</v>
      </c>
      <c r="C11" s="162"/>
      <c r="D11" s="5">
        <v>1000</v>
      </c>
      <c r="E11" s="162"/>
      <c r="F11" s="162"/>
      <c r="G11" s="162"/>
      <c r="H11" s="162"/>
      <c r="I11" s="164"/>
      <c r="J11" s="164"/>
      <c r="K11" s="164"/>
    </row>
    <row r="12" spans="1:11" ht="15.6" x14ac:dyDescent="0.3">
      <c r="A12" s="2"/>
      <c r="B12" s="2"/>
      <c r="C12" s="162"/>
      <c r="D12" s="168"/>
      <c r="E12" s="162"/>
      <c r="F12" s="162"/>
      <c r="G12" s="162"/>
      <c r="H12" s="162"/>
      <c r="I12" s="164"/>
      <c r="J12" s="164"/>
      <c r="K12" s="164"/>
    </row>
    <row r="13" spans="1:11" ht="17.399999999999999" x14ac:dyDescent="0.3">
      <c r="A13" s="7" t="s">
        <v>27</v>
      </c>
      <c r="B13" s="11"/>
      <c r="C13" s="162"/>
      <c r="D13" s="169"/>
      <c r="E13" s="169"/>
      <c r="F13" s="169"/>
      <c r="G13" s="162"/>
      <c r="H13" s="169" t="s">
        <v>28</v>
      </c>
      <c r="I13" s="170" t="s">
        <v>29</v>
      </c>
      <c r="J13" s="170" t="s">
        <v>30</v>
      </c>
      <c r="K13" s="170" t="s">
        <v>31</v>
      </c>
    </row>
    <row r="14" spans="1:11" ht="17.399999999999999" x14ac:dyDescent="0.3">
      <c r="A14" s="7"/>
      <c r="B14" s="11" t="s">
        <v>33</v>
      </c>
      <c r="C14" s="169"/>
      <c r="D14" s="162"/>
      <c r="E14" s="162"/>
      <c r="F14" s="162"/>
      <c r="G14" s="162"/>
      <c r="H14" s="171">
        <f>D7*D5</f>
        <v>1960</v>
      </c>
      <c r="I14" s="22">
        <f>IF(ISERROR(J14/D7),0,J14/D7)</f>
        <v>14.295000000000002</v>
      </c>
      <c r="J14" s="22">
        <f>K14/D5</f>
        <v>200.13000000000002</v>
      </c>
      <c r="K14" s="22">
        <f>H14*D9*'Price and Yields'!$E$8</f>
        <v>28018.200000000004</v>
      </c>
    </row>
    <row r="15" spans="1:11" ht="15.6" x14ac:dyDescent="0.3">
      <c r="A15" s="2"/>
      <c r="B15" s="2"/>
      <c r="C15" s="162"/>
      <c r="D15" s="162"/>
      <c r="E15" s="162"/>
      <c r="F15" s="162"/>
      <c r="G15" s="162"/>
      <c r="H15" s="162"/>
      <c r="I15" s="164"/>
      <c r="J15" s="164"/>
      <c r="K15" s="164"/>
    </row>
    <row r="16" spans="1:11" ht="17.399999999999999" x14ac:dyDescent="0.3">
      <c r="A16" s="172" t="s">
        <v>34</v>
      </c>
      <c r="B16" s="2"/>
      <c r="C16" s="162"/>
      <c r="D16" s="162"/>
      <c r="E16" s="162"/>
      <c r="F16" s="162"/>
      <c r="G16" s="162"/>
      <c r="H16" s="162"/>
      <c r="I16" s="164"/>
      <c r="J16" s="164"/>
      <c r="K16" s="164"/>
    </row>
    <row r="17" spans="1:11" ht="6" customHeight="1" x14ac:dyDescent="0.3">
      <c r="A17" s="172"/>
      <c r="B17" s="2"/>
      <c r="C17" s="162"/>
      <c r="D17" s="162"/>
      <c r="E17" s="162"/>
      <c r="F17" s="162"/>
      <c r="G17" s="162"/>
      <c r="H17" s="162"/>
      <c r="I17" s="164"/>
      <c r="J17" s="164"/>
      <c r="K17" s="164"/>
    </row>
    <row r="18" spans="1:11" ht="15.6" x14ac:dyDescent="0.3">
      <c r="A18" s="11"/>
      <c r="B18" s="12" t="s">
        <v>35</v>
      </c>
      <c r="C18" s="14"/>
      <c r="D18" s="173" t="s">
        <v>36</v>
      </c>
      <c r="E18" s="173" t="s">
        <v>37</v>
      </c>
      <c r="F18" s="173" t="s">
        <v>38</v>
      </c>
      <c r="G18" s="173" t="s">
        <v>39</v>
      </c>
      <c r="H18" s="173" t="s">
        <v>40</v>
      </c>
      <c r="I18" s="174"/>
      <c r="J18" s="174" t="s">
        <v>30</v>
      </c>
      <c r="K18" s="175" t="s">
        <v>31</v>
      </c>
    </row>
    <row r="19" spans="1:11" ht="15.6" x14ac:dyDescent="0.3">
      <c r="A19" s="2"/>
      <c r="B19" s="176" t="s">
        <v>41</v>
      </c>
      <c r="C19" s="177"/>
      <c r="D19" s="178"/>
      <c r="E19" s="178"/>
      <c r="F19" s="178"/>
      <c r="G19" s="178"/>
      <c r="H19" s="178"/>
      <c r="I19" s="179"/>
      <c r="J19" s="179"/>
      <c r="K19" s="180"/>
    </row>
    <row r="20" spans="1:11" ht="15.6" x14ac:dyDescent="0.3">
      <c r="A20" s="2"/>
      <c r="B20" s="181" t="s">
        <v>42</v>
      </c>
      <c r="C20" s="182"/>
      <c r="D20" s="183">
        <v>6</v>
      </c>
      <c r="E20" s="184" t="s">
        <v>43</v>
      </c>
      <c r="F20" s="185" t="s">
        <v>44</v>
      </c>
      <c r="G20" s="183">
        <v>1</v>
      </c>
      <c r="H20" s="186">
        <f>'Year 1'!$H$20</f>
        <v>1.65</v>
      </c>
      <c r="I20" s="187"/>
      <c r="J20" s="188">
        <f>K20/$D$5</f>
        <v>7.0714285714285702E-2</v>
      </c>
      <c r="K20" s="189">
        <f>H20*G20*D20</f>
        <v>9.8999999999999986</v>
      </c>
    </row>
    <row r="21" spans="1:11" ht="15.6" x14ac:dyDescent="0.3">
      <c r="A21" s="2"/>
      <c r="B21" s="190" t="s">
        <v>45</v>
      </c>
      <c r="C21" s="191"/>
      <c r="D21" s="192">
        <v>18</v>
      </c>
      <c r="E21" s="193" t="s">
        <v>43</v>
      </c>
      <c r="F21" s="194" t="s">
        <v>44</v>
      </c>
      <c r="G21" s="192">
        <v>0.4</v>
      </c>
      <c r="H21" s="195">
        <f>'Year 1'!$H$21</f>
        <v>3</v>
      </c>
      <c r="I21" s="196"/>
      <c r="J21" s="197">
        <f>K21/$D$5</f>
        <v>0.1542857142857143</v>
      </c>
      <c r="K21" s="198">
        <f>H21*G21*D21</f>
        <v>21.6</v>
      </c>
    </row>
    <row r="22" spans="1:11" ht="15.6" x14ac:dyDescent="0.3">
      <c r="A22" s="2"/>
      <c r="B22" s="199" t="s">
        <v>46</v>
      </c>
      <c r="C22" s="200"/>
      <c r="D22" s="201">
        <v>6</v>
      </c>
      <c r="E22" s="202" t="s">
        <v>43</v>
      </c>
      <c r="F22" s="203" t="s">
        <v>44</v>
      </c>
      <c r="G22" s="201">
        <v>0.4</v>
      </c>
      <c r="H22" s="204">
        <f>'Year 1'!$H$22</f>
        <v>1.65</v>
      </c>
      <c r="I22" s="205"/>
      <c r="J22" s="206">
        <f>K22/$D$5</f>
        <v>2.8285714285714286E-2</v>
      </c>
      <c r="K22" s="207">
        <f>H22*G22*D22</f>
        <v>3.96</v>
      </c>
    </row>
    <row r="23" spans="1:11" ht="15.6" x14ac:dyDescent="0.3">
      <c r="A23" s="2"/>
      <c r="B23" s="21" t="s">
        <v>47</v>
      </c>
      <c r="C23" s="208"/>
      <c r="D23" s="209"/>
      <c r="E23" s="209"/>
      <c r="F23" s="209"/>
      <c r="G23" s="209"/>
      <c r="H23" s="210"/>
      <c r="I23" s="23"/>
      <c r="J23" s="23"/>
      <c r="K23" s="211">
        <f>SUM(K20:K22)</f>
        <v>35.46</v>
      </c>
    </row>
    <row r="24" spans="1:11" ht="15.6" x14ac:dyDescent="0.3">
      <c r="A24" s="2"/>
      <c r="B24" s="176" t="s">
        <v>48</v>
      </c>
      <c r="C24" s="177"/>
      <c r="D24" s="178"/>
      <c r="E24" s="178"/>
      <c r="F24" s="178"/>
      <c r="G24" s="178"/>
      <c r="H24" s="212"/>
      <c r="I24" s="179"/>
      <c r="J24" s="179"/>
      <c r="K24" s="180"/>
    </row>
    <row r="25" spans="1:11" ht="15.6" x14ac:dyDescent="0.3">
      <c r="A25" s="2"/>
      <c r="B25" s="181" t="s">
        <v>49</v>
      </c>
      <c r="C25" s="182"/>
      <c r="D25" s="183">
        <v>2</v>
      </c>
      <c r="E25" s="184" t="s">
        <v>43</v>
      </c>
      <c r="F25" s="183">
        <v>0.06</v>
      </c>
      <c r="G25" s="213">
        <f>F25*$D$5</f>
        <v>8.4</v>
      </c>
      <c r="H25" s="186">
        <f>'Farm Parameters'!$D$10</f>
        <v>11</v>
      </c>
      <c r="I25" s="187"/>
      <c r="J25" s="188">
        <f>K25/$D$5</f>
        <v>1.32</v>
      </c>
      <c r="K25" s="189">
        <f>H25*G25*D25</f>
        <v>184.8</v>
      </c>
    </row>
    <row r="26" spans="1:11" ht="15.6" x14ac:dyDescent="0.3">
      <c r="A26" s="2"/>
      <c r="B26" s="190" t="s">
        <v>50</v>
      </c>
      <c r="C26" s="191"/>
      <c r="D26" s="192">
        <v>1</v>
      </c>
      <c r="E26" s="193" t="s">
        <v>43</v>
      </c>
      <c r="F26" s="192">
        <v>0.2</v>
      </c>
      <c r="G26" s="214">
        <f>F26*$D$5</f>
        <v>28</v>
      </c>
      <c r="H26" s="195">
        <f>H25</f>
        <v>11</v>
      </c>
      <c r="I26" s="196"/>
      <c r="J26" s="197">
        <f>K26/$D$5</f>
        <v>2.2000000000000002</v>
      </c>
      <c r="K26" s="198">
        <f>H26*G26*D26</f>
        <v>308</v>
      </c>
    </row>
    <row r="27" spans="1:11" ht="15.6" x14ac:dyDescent="0.3">
      <c r="A27" s="2"/>
      <c r="B27" s="199" t="s">
        <v>51</v>
      </c>
      <c r="C27" s="200"/>
      <c r="D27" s="201">
        <v>1</v>
      </c>
      <c r="E27" s="202" t="s">
        <v>43</v>
      </c>
      <c r="F27" s="201">
        <v>0.25</v>
      </c>
      <c r="G27" s="215">
        <f>F27*$D$5</f>
        <v>35</v>
      </c>
      <c r="H27" s="204">
        <f>H25</f>
        <v>11</v>
      </c>
      <c r="I27" s="205"/>
      <c r="J27" s="206">
        <f>K27/$D$5</f>
        <v>2.75</v>
      </c>
      <c r="K27" s="207">
        <f>H27*G27*D27</f>
        <v>385</v>
      </c>
    </row>
    <row r="28" spans="1:11" ht="15.6" x14ac:dyDescent="0.3">
      <c r="A28" s="2"/>
      <c r="B28" s="21" t="s">
        <v>47</v>
      </c>
      <c r="C28" s="208"/>
      <c r="D28" s="209"/>
      <c r="E28" s="209"/>
      <c r="F28" s="209"/>
      <c r="G28" s="209"/>
      <c r="H28" s="210"/>
      <c r="I28" s="23"/>
      <c r="J28" s="23"/>
      <c r="K28" s="211">
        <f>SUM(K25:K27)</f>
        <v>877.8</v>
      </c>
    </row>
    <row r="29" spans="1:11" ht="15.6" x14ac:dyDescent="0.3">
      <c r="A29" s="2"/>
      <c r="B29" s="176" t="s">
        <v>46</v>
      </c>
      <c r="C29" s="177"/>
      <c r="D29" s="178"/>
      <c r="E29" s="178"/>
      <c r="F29" s="178"/>
      <c r="G29" s="178"/>
      <c r="H29" s="216"/>
      <c r="I29" s="179"/>
      <c r="J29" s="179"/>
      <c r="K29" s="180"/>
    </row>
    <row r="30" spans="1:11" ht="15.6" x14ac:dyDescent="0.3">
      <c r="A30" s="2"/>
      <c r="B30" s="181" t="s">
        <v>52</v>
      </c>
      <c r="C30" s="182"/>
      <c r="D30" s="183">
        <v>0</v>
      </c>
      <c r="E30" s="184" t="s">
        <v>53</v>
      </c>
      <c r="F30" s="183">
        <v>0.2</v>
      </c>
      <c r="G30" s="185">
        <f>F30*$D$5</f>
        <v>28</v>
      </c>
      <c r="H30" s="186">
        <f>'Year 1'!$H$30</f>
        <v>0.47</v>
      </c>
      <c r="I30" s="187"/>
      <c r="J30" s="189">
        <f t="shared" ref="J30:J37" si="0">K30/$D$5</f>
        <v>0</v>
      </c>
      <c r="K30" s="189">
        <f t="shared" ref="K30:K37" si="1">H30*G30*D30</f>
        <v>0</v>
      </c>
    </row>
    <row r="31" spans="1:11" ht="15.6" x14ac:dyDescent="0.3">
      <c r="A31" s="2"/>
      <c r="B31" s="190" t="s">
        <v>54</v>
      </c>
      <c r="C31" s="191"/>
      <c r="D31" s="192">
        <v>3</v>
      </c>
      <c r="E31" s="193" t="s">
        <v>53</v>
      </c>
      <c r="F31" s="192">
        <v>1.6</v>
      </c>
      <c r="G31" s="194">
        <f t="shared" ref="G31:G37" si="2">F31*$D$5</f>
        <v>224</v>
      </c>
      <c r="H31" s="195">
        <f>'Year 1'!$H$31</f>
        <v>0.53</v>
      </c>
      <c r="I31" s="196"/>
      <c r="J31" s="198">
        <f t="shared" si="0"/>
        <v>2.5439999999999996</v>
      </c>
      <c r="K31" s="198">
        <f t="shared" si="1"/>
        <v>356.15999999999997</v>
      </c>
    </row>
    <row r="32" spans="1:11" ht="15.6" x14ac:dyDescent="0.3">
      <c r="A32" s="2"/>
      <c r="B32" s="190" t="s">
        <v>55</v>
      </c>
      <c r="C32" s="191"/>
      <c r="D32" s="192">
        <v>0</v>
      </c>
      <c r="E32" s="193" t="s">
        <v>56</v>
      </c>
      <c r="F32" s="192">
        <v>0.35</v>
      </c>
      <c r="G32" s="194">
        <f t="shared" si="2"/>
        <v>49</v>
      </c>
      <c r="H32" s="195">
        <f>'Year 1'!$H$32</f>
        <v>3.0000000000000001E-3</v>
      </c>
      <c r="I32" s="196"/>
      <c r="J32" s="198">
        <f t="shared" si="0"/>
        <v>0</v>
      </c>
      <c r="K32" s="198">
        <f t="shared" si="1"/>
        <v>0</v>
      </c>
    </row>
    <row r="33" spans="1:11" ht="15.6" x14ac:dyDescent="0.3">
      <c r="A33" s="2"/>
      <c r="B33" s="190" t="s">
        <v>57</v>
      </c>
      <c r="C33" s="191"/>
      <c r="D33" s="192">
        <v>1</v>
      </c>
      <c r="E33" s="193" t="s">
        <v>58</v>
      </c>
      <c r="F33" s="192">
        <v>4</v>
      </c>
      <c r="G33" s="194">
        <f t="shared" si="2"/>
        <v>560</v>
      </c>
      <c r="H33" s="195">
        <f>'Year 1'!$H$33</f>
        <v>1.5</v>
      </c>
      <c r="I33" s="196"/>
      <c r="J33" s="198">
        <f t="shared" si="0"/>
        <v>6</v>
      </c>
      <c r="K33" s="198">
        <f t="shared" si="1"/>
        <v>840</v>
      </c>
    </row>
    <row r="34" spans="1:11" ht="15.6" x14ac:dyDescent="0.3">
      <c r="A34" s="2"/>
      <c r="B34" s="190" t="s">
        <v>59</v>
      </c>
      <c r="C34" s="191"/>
      <c r="D34" s="192">
        <v>1</v>
      </c>
      <c r="E34" s="193" t="s">
        <v>53</v>
      </c>
      <c r="F34" s="192">
        <v>0.2</v>
      </c>
      <c r="G34" s="194">
        <f t="shared" si="2"/>
        <v>28</v>
      </c>
      <c r="H34" s="195">
        <f>'Year 1'!$H$34</f>
        <v>0.88</v>
      </c>
      <c r="I34" s="196"/>
      <c r="J34" s="198">
        <f t="shared" si="0"/>
        <v>0.17600000000000002</v>
      </c>
      <c r="K34" s="198">
        <f t="shared" si="1"/>
        <v>24.64</v>
      </c>
    </row>
    <row r="35" spans="1:11" ht="15.6" x14ac:dyDescent="0.3">
      <c r="A35" s="2"/>
      <c r="B35" s="190" t="s">
        <v>60</v>
      </c>
      <c r="C35" s="191"/>
      <c r="D35" s="192">
        <v>1</v>
      </c>
      <c r="E35" s="193" t="s">
        <v>53</v>
      </c>
      <c r="F35" s="192">
        <v>0.5</v>
      </c>
      <c r="G35" s="194">
        <f t="shared" si="2"/>
        <v>70</v>
      </c>
      <c r="H35" s="195">
        <f>'Year 1'!$H$35</f>
        <v>1</v>
      </c>
      <c r="I35" s="196"/>
      <c r="J35" s="198">
        <f t="shared" si="0"/>
        <v>0.5</v>
      </c>
      <c r="K35" s="198">
        <f t="shared" si="1"/>
        <v>70</v>
      </c>
    </row>
    <row r="36" spans="1:11" ht="15.6" x14ac:dyDescent="0.3">
      <c r="A36" s="2"/>
      <c r="B36" s="190" t="s">
        <v>61</v>
      </c>
      <c r="C36" s="191"/>
      <c r="D36" s="192">
        <v>3</v>
      </c>
      <c r="E36" s="193" t="s">
        <v>53</v>
      </c>
      <c r="F36" s="192">
        <v>0.15</v>
      </c>
      <c r="G36" s="194">
        <f t="shared" si="2"/>
        <v>21</v>
      </c>
      <c r="H36" s="195">
        <f>'Year 1'!$H$36</f>
        <v>2.7792000000000003</v>
      </c>
      <c r="I36" s="196"/>
      <c r="J36" s="198">
        <f t="shared" si="0"/>
        <v>1.2506400000000002</v>
      </c>
      <c r="K36" s="198">
        <f t="shared" si="1"/>
        <v>175.08960000000002</v>
      </c>
    </row>
    <row r="37" spans="1:11" ht="15.6" x14ac:dyDescent="0.3">
      <c r="A37" s="2"/>
      <c r="B37" s="199" t="s">
        <v>62</v>
      </c>
      <c r="C37" s="200"/>
      <c r="D37" s="201">
        <v>1</v>
      </c>
      <c r="E37" s="193" t="s">
        <v>53</v>
      </c>
      <c r="F37" s="201">
        <v>2</v>
      </c>
      <c r="G37" s="203">
        <f t="shared" si="2"/>
        <v>280</v>
      </c>
      <c r="H37" s="204">
        <f>'Year 1'!$H$37</f>
        <v>0.14000000000000001</v>
      </c>
      <c r="I37" s="205"/>
      <c r="J37" s="207">
        <f t="shared" si="0"/>
        <v>0.28000000000000003</v>
      </c>
      <c r="K37" s="207">
        <f t="shared" si="1"/>
        <v>39.200000000000003</v>
      </c>
    </row>
    <row r="38" spans="1:11" ht="15.6" x14ac:dyDescent="0.3">
      <c r="A38" s="2"/>
      <c r="B38" s="21" t="s">
        <v>47</v>
      </c>
      <c r="C38" s="208"/>
      <c r="D38" s="209"/>
      <c r="E38" s="209"/>
      <c r="F38" s="209"/>
      <c r="G38" s="209"/>
      <c r="H38" s="217"/>
      <c r="I38" s="23"/>
      <c r="J38" s="23"/>
      <c r="K38" s="211">
        <f>SUM(K30:K37)</f>
        <v>1505.0896</v>
      </c>
    </row>
    <row r="39" spans="1:11" ht="15.6" x14ac:dyDescent="0.3">
      <c r="A39" s="2"/>
      <c r="B39" s="176" t="s">
        <v>63</v>
      </c>
      <c r="C39" s="177"/>
      <c r="D39" s="178"/>
      <c r="E39" s="178"/>
      <c r="F39" s="178"/>
      <c r="G39" s="178"/>
      <c r="H39" s="216"/>
      <c r="I39" s="179"/>
      <c r="J39" s="179"/>
      <c r="K39" s="180"/>
    </row>
    <row r="40" spans="1:11" ht="15.6" x14ac:dyDescent="0.3">
      <c r="A40" s="2"/>
      <c r="B40" s="181" t="s">
        <v>64</v>
      </c>
      <c r="C40" s="182"/>
      <c r="D40" s="183">
        <v>5</v>
      </c>
      <c r="E40" s="184" t="s">
        <v>56</v>
      </c>
      <c r="F40" s="218">
        <v>8.0000000000000002E-3</v>
      </c>
      <c r="G40" s="213">
        <f>F40*$D$5</f>
        <v>1.1200000000000001</v>
      </c>
      <c r="H40" s="186">
        <f>'Year 1'!$H$40</f>
        <v>9.75</v>
      </c>
      <c r="I40" s="187"/>
      <c r="J40" s="188">
        <f>K40/$D$5</f>
        <v>0.39000000000000007</v>
      </c>
      <c r="K40" s="189">
        <f>H40*G40*D40</f>
        <v>54.600000000000009</v>
      </c>
    </row>
    <row r="41" spans="1:11" ht="15.6" x14ac:dyDescent="0.3">
      <c r="A41" s="2"/>
      <c r="B41" s="219" t="s">
        <v>65</v>
      </c>
      <c r="C41" s="191"/>
      <c r="D41" s="192">
        <v>0</v>
      </c>
      <c r="E41" s="193" t="s">
        <v>56</v>
      </c>
      <c r="F41" s="220">
        <v>0.03</v>
      </c>
      <c r="G41" s="214">
        <f>F41*$D$5</f>
        <v>4.2</v>
      </c>
      <c r="H41" s="195">
        <f>'Year 1'!$H$41</f>
        <v>0</v>
      </c>
      <c r="I41" s="196"/>
      <c r="J41" s="197">
        <f>K41/$D$5</f>
        <v>0</v>
      </c>
      <c r="K41" s="198">
        <f>H41*G41*D41</f>
        <v>0</v>
      </c>
    </row>
    <row r="42" spans="1:11" ht="15.6" x14ac:dyDescent="0.3">
      <c r="A42" s="2"/>
      <c r="B42" s="221" t="s">
        <v>65</v>
      </c>
      <c r="C42" s="200"/>
      <c r="D42" s="201">
        <v>0</v>
      </c>
      <c r="E42" s="202" t="s">
        <v>56</v>
      </c>
      <c r="F42" s="222">
        <v>0.03</v>
      </c>
      <c r="G42" s="215">
        <f>F42*$D$5</f>
        <v>4.2</v>
      </c>
      <c r="H42" s="204">
        <f>'Year 1'!$H$42</f>
        <v>0</v>
      </c>
      <c r="I42" s="205"/>
      <c r="J42" s="206">
        <f>K42/$D$5</f>
        <v>0</v>
      </c>
      <c r="K42" s="207">
        <f>H42*G42*D42</f>
        <v>0</v>
      </c>
    </row>
    <row r="43" spans="1:11" ht="15.6" x14ac:dyDescent="0.3">
      <c r="A43" s="2"/>
      <c r="B43" s="21" t="s">
        <v>47</v>
      </c>
      <c r="C43" s="208"/>
      <c r="D43" s="209"/>
      <c r="E43" s="209"/>
      <c r="F43" s="209"/>
      <c r="G43" s="209"/>
      <c r="H43" s="217"/>
      <c r="I43" s="23"/>
      <c r="J43" s="23"/>
      <c r="K43" s="211">
        <f>SUM(K40:K42)</f>
        <v>54.600000000000009</v>
      </c>
    </row>
    <row r="44" spans="1:11" ht="15.6" x14ac:dyDescent="0.3">
      <c r="A44" s="11"/>
      <c r="B44" s="176" t="s">
        <v>66</v>
      </c>
      <c r="C44" s="177"/>
      <c r="D44" s="178"/>
      <c r="E44" s="178"/>
      <c r="F44" s="178"/>
      <c r="G44" s="178"/>
      <c r="H44" s="212"/>
      <c r="I44" s="179"/>
      <c r="J44" s="179"/>
      <c r="K44" s="180"/>
    </row>
    <row r="45" spans="1:11" ht="15.6" x14ac:dyDescent="0.3">
      <c r="A45" s="2"/>
      <c r="B45" s="190" t="s">
        <v>68</v>
      </c>
      <c r="C45" s="223"/>
      <c r="D45" s="183">
        <v>7</v>
      </c>
      <c r="E45" s="193" t="s">
        <v>56</v>
      </c>
      <c r="F45" s="224">
        <f>IF(D45=0,0,$D$11/100*'Year 1'!$C45/$D$5)</f>
        <v>1.0714285714285714E-2</v>
      </c>
      <c r="G45" s="194">
        <f>F45*$D$5</f>
        <v>1.5</v>
      </c>
      <c r="H45" s="195">
        <f>'Year 1'!$H$45</f>
        <v>7.65</v>
      </c>
      <c r="I45" s="196"/>
      <c r="J45" s="198">
        <f>K45/$D$5</f>
        <v>0.57375000000000009</v>
      </c>
      <c r="K45" s="198">
        <f>H45*G45*D45</f>
        <v>80.325000000000017</v>
      </c>
    </row>
    <row r="46" spans="1:11" ht="15.6" x14ac:dyDescent="0.3">
      <c r="A46" s="2"/>
      <c r="B46" s="190" t="s">
        <v>69</v>
      </c>
      <c r="C46" s="223"/>
      <c r="D46" s="192">
        <v>4</v>
      </c>
      <c r="E46" s="193" t="s">
        <v>56</v>
      </c>
      <c r="F46" s="224">
        <f>IF(D46=0,0,$D$11/100*'Year 1'!$C46/$D$5)</f>
        <v>7.1428571428571426E-3</v>
      </c>
      <c r="G46" s="194">
        <f>F46*$D$5</f>
        <v>1</v>
      </c>
      <c r="H46" s="195">
        <f>'Year 1'!$H$46</f>
        <v>17.82</v>
      </c>
      <c r="I46" s="196"/>
      <c r="J46" s="198">
        <f>K46/$D$5</f>
        <v>0.50914285714285712</v>
      </c>
      <c r="K46" s="198">
        <f>H46*G46*D46</f>
        <v>71.28</v>
      </c>
    </row>
    <row r="47" spans="1:11" ht="15.6" x14ac:dyDescent="0.3">
      <c r="A47" s="2"/>
      <c r="B47" s="190" t="s">
        <v>70</v>
      </c>
      <c r="C47" s="223"/>
      <c r="D47" s="192">
        <v>2</v>
      </c>
      <c r="E47" s="193" t="s">
        <v>56</v>
      </c>
      <c r="F47" s="224">
        <f>IF(D47=0,0,$D$11/100*'Year 1'!$C47/$D$5)</f>
        <v>2.7142857142857142E-3</v>
      </c>
      <c r="G47" s="194">
        <f>F47*$D$5</f>
        <v>0.38</v>
      </c>
      <c r="H47" s="195">
        <f>'Year 1'!$H$47</f>
        <v>82.72</v>
      </c>
      <c r="I47" s="196"/>
      <c r="J47" s="198">
        <f>K47/$D$5</f>
        <v>0.44905142857142855</v>
      </c>
      <c r="K47" s="198">
        <f>H47*G47*D47</f>
        <v>62.867199999999997</v>
      </c>
    </row>
    <row r="48" spans="1:11" ht="15.6" x14ac:dyDescent="0.3">
      <c r="A48" s="2"/>
      <c r="B48" s="190" t="s">
        <v>71</v>
      </c>
      <c r="C48" s="223"/>
      <c r="D48" s="201">
        <v>3</v>
      </c>
      <c r="E48" s="193" t="s">
        <v>56</v>
      </c>
      <c r="F48" s="224">
        <f>IF(D48=0,0,$D$11/100*'Year 1'!$C48/$D$5)</f>
        <v>5.3571428571428572E-3</v>
      </c>
      <c r="G48" s="194">
        <f>F48*$D$5</f>
        <v>0.75</v>
      </c>
      <c r="H48" s="195">
        <f>'Year 1'!$H$48</f>
        <v>8.1999999999999993</v>
      </c>
      <c r="I48" s="196"/>
      <c r="J48" s="198">
        <f>K48/$D$5</f>
        <v>0.13178571428571428</v>
      </c>
      <c r="K48" s="198">
        <f>H48*G48*D48</f>
        <v>18.45</v>
      </c>
    </row>
    <row r="49" spans="1:11" ht="15.6" x14ac:dyDescent="0.3">
      <c r="A49" s="2"/>
      <c r="B49" s="21" t="s">
        <v>47</v>
      </c>
      <c r="C49" s="208"/>
      <c r="D49" s="209"/>
      <c r="E49" s="209"/>
      <c r="F49" s="209"/>
      <c r="G49" s="209"/>
      <c r="H49" s="210"/>
      <c r="I49" s="23"/>
      <c r="J49" s="23"/>
      <c r="K49" s="211">
        <f>SUM(K45:K48)</f>
        <v>232.9222</v>
      </c>
    </row>
    <row r="50" spans="1:11" ht="15.6" x14ac:dyDescent="0.3">
      <c r="A50" s="2"/>
      <c r="B50" s="176" t="s">
        <v>72</v>
      </c>
      <c r="C50" s="177"/>
      <c r="D50" s="178"/>
      <c r="E50" s="178"/>
      <c r="F50" s="178"/>
      <c r="G50" s="178"/>
      <c r="H50" s="216"/>
      <c r="I50" s="179"/>
      <c r="J50" s="179"/>
      <c r="K50" s="180"/>
    </row>
    <row r="51" spans="1:11" ht="15.6" x14ac:dyDescent="0.3">
      <c r="A51" s="2"/>
      <c r="B51" s="181" t="s">
        <v>73</v>
      </c>
      <c r="C51" s="225"/>
      <c r="D51" s="226">
        <v>11</v>
      </c>
      <c r="E51" s="193" t="s">
        <v>53</v>
      </c>
      <c r="F51" s="224">
        <f>IF(D51=0,0,$D$11/100*'Year 1'!$C51/$D$5)</f>
        <v>1.4285714285714285E-2</v>
      </c>
      <c r="G51" s="213">
        <f>F51*$D$5</f>
        <v>2</v>
      </c>
      <c r="H51" s="186">
        <f>'Year 1'!$H$51</f>
        <v>6.33</v>
      </c>
      <c r="I51" s="187"/>
      <c r="J51" s="188">
        <f>K51/$D$5</f>
        <v>0.99471428571428566</v>
      </c>
      <c r="K51" s="189">
        <f>H51*G51*D51</f>
        <v>139.26</v>
      </c>
    </row>
    <row r="52" spans="1:11" ht="15.6" x14ac:dyDescent="0.3">
      <c r="A52" s="2"/>
      <c r="B52" s="219" t="s">
        <v>74</v>
      </c>
      <c r="C52" s="227"/>
      <c r="D52" s="228">
        <v>2</v>
      </c>
      <c r="E52" s="193" t="s">
        <v>56</v>
      </c>
      <c r="F52" s="308">
        <v>0.18</v>
      </c>
      <c r="G52" s="214">
        <f>F52*$D$5</f>
        <v>25.2</v>
      </c>
      <c r="H52" s="195">
        <f>'Year 1'!$H$52</f>
        <v>2.2000000000000002</v>
      </c>
      <c r="I52" s="196"/>
      <c r="J52" s="197">
        <f>K52/$D$5</f>
        <v>0.79200000000000004</v>
      </c>
      <c r="K52" s="198">
        <f>H52*G52*D52</f>
        <v>110.88000000000001</v>
      </c>
    </row>
    <row r="53" spans="1:11" ht="15.6" x14ac:dyDescent="0.3">
      <c r="A53" s="2"/>
      <c r="B53" s="221" t="s">
        <v>65</v>
      </c>
      <c r="C53" s="229"/>
      <c r="D53" s="230">
        <v>0</v>
      </c>
      <c r="E53" s="193" t="s">
        <v>53</v>
      </c>
      <c r="F53" s="224">
        <f>IF(D53=0,0,$D$11/100*'Year 1'!$C53/$D$5)</f>
        <v>0</v>
      </c>
      <c r="G53" s="215">
        <f>F53*$D$5</f>
        <v>0</v>
      </c>
      <c r="H53" s="204">
        <f>'Year 1'!$H$53</f>
        <v>0</v>
      </c>
      <c r="I53" s="205"/>
      <c r="J53" s="206">
        <f>K53/$D$5</f>
        <v>0</v>
      </c>
      <c r="K53" s="207">
        <f>H53*G53*D53</f>
        <v>0</v>
      </c>
    </row>
    <row r="54" spans="1:11" ht="15.6" x14ac:dyDescent="0.3">
      <c r="A54" s="2"/>
      <c r="B54" s="21" t="s">
        <v>47</v>
      </c>
      <c r="C54" s="208"/>
      <c r="D54" s="209"/>
      <c r="E54" s="209"/>
      <c r="F54" s="209"/>
      <c r="G54" s="209"/>
      <c r="H54" s="217"/>
      <c r="I54" s="23"/>
      <c r="J54" s="23"/>
      <c r="K54" s="211">
        <f>SUM(K51:K53)</f>
        <v>250.14</v>
      </c>
    </row>
    <row r="55" spans="1:11" ht="15.6" x14ac:dyDescent="0.3">
      <c r="A55" s="2"/>
      <c r="B55" s="176" t="s">
        <v>65</v>
      </c>
      <c r="C55" s="177"/>
      <c r="D55" s="178"/>
      <c r="E55" s="178"/>
      <c r="F55" s="178"/>
      <c r="G55" s="178"/>
      <c r="H55" s="216"/>
      <c r="I55" s="179"/>
      <c r="J55" s="179"/>
      <c r="K55" s="180"/>
    </row>
    <row r="56" spans="1:11" ht="15.6" x14ac:dyDescent="0.3">
      <c r="A56" s="2"/>
      <c r="B56" s="181" t="s">
        <v>75</v>
      </c>
      <c r="C56" s="182"/>
      <c r="D56" s="185" t="s">
        <v>44</v>
      </c>
      <c r="E56" s="184" t="s">
        <v>76</v>
      </c>
      <c r="F56" s="185" t="s">
        <v>44</v>
      </c>
      <c r="G56" s="309">
        <v>8.0500000000000007</v>
      </c>
      <c r="H56" s="186">
        <f>'Year 1'!$H$56</f>
        <v>30</v>
      </c>
      <c r="I56" s="187"/>
      <c r="J56" s="188">
        <f>K56/$D$5</f>
        <v>1.7250000000000003</v>
      </c>
      <c r="K56" s="189">
        <f>H56*G56</f>
        <v>241.50000000000003</v>
      </c>
    </row>
    <row r="57" spans="1:11" ht="15.6" x14ac:dyDescent="0.3">
      <c r="A57" s="2"/>
      <c r="B57" s="221" t="s">
        <v>77</v>
      </c>
      <c r="C57" s="200"/>
      <c r="D57" s="203" t="s">
        <v>44</v>
      </c>
      <c r="E57" s="202" t="s">
        <v>43</v>
      </c>
      <c r="F57" s="203" t="s">
        <v>44</v>
      </c>
      <c r="G57" s="310">
        <v>0</v>
      </c>
      <c r="H57" s="204">
        <f>'Year 1'!$H$57</f>
        <v>11</v>
      </c>
      <c r="I57" s="205"/>
      <c r="J57" s="206">
        <f>K57/$D$5</f>
        <v>0</v>
      </c>
      <c r="K57" s="207">
        <f>H57*G57</f>
        <v>0</v>
      </c>
    </row>
    <row r="58" spans="1:11" ht="15.6" x14ac:dyDescent="0.3">
      <c r="A58" s="2"/>
      <c r="B58" s="231" t="s">
        <v>78</v>
      </c>
      <c r="C58" s="232"/>
      <c r="D58" s="233"/>
      <c r="E58" s="233"/>
      <c r="F58" s="233"/>
      <c r="G58" s="233"/>
      <c r="H58" s="233"/>
      <c r="I58" s="235"/>
      <c r="J58" s="235">
        <f>SUM(J20:J57)</f>
        <v>22.839370000000006</v>
      </c>
      <c r="K58" s="236">
        <f>K57+K56+K54+K49+K43+K38+K28+K23</f>
        <v>3197.5118000000002</v>
      </c>
    </row>
    <row r="59" spans="1:11" ht="15.6" x14ac:dyDescent="0.3">
      <c r="A59" s="2"/>
      <c r="B59" s="2"/>
      <c r="C59" s="2"/>
      <c r="D59" s="2"/>
      <c r="E59" s="2"/>
      <c r="F59" s="2"/>
      <c r="G59" s="2"/>
      <c r="H59" s="2"/>
      <c r="I59" s="2"/>
      <c r="J59" s="2"/>
      <c r="K59" s="2"/>
    </row>
    <row r="60" spans="1:11" ht="15.6" x14ac:dyDescent="0.3">
      <c r="A60" s="2"/>
      <c r="B60" s="231" t="s">
        <v>79</v>
      </c>
      <c r="C60" s="232"/>
      <c r="D60" s="233"/>
      <c r="E60" s="233"/>
      <c r="F60" s="233"/>
      <c r="G60" s="233"/>
      <c r="H60" s="233"/>
      <c r="I60" s="235"/>
      <c r="J60" s="235"/>
      <c r="K60" s="237"/>
    </row>
    <row r="61" spans="1:11" ht="15.6" x14ac:dyDescent="0.3">
      <c r="A61" s="2"/>
      <c r="B61" s="181" t="s">
        <v>80</v>
      </c>
      <c r="C61" s="182"/>
      <c r="D61" s="183">
        <v>144</v>
      </c>
      <c r="E61" s="238"/>
      <c r="F61" s="238"/>
      <c r="G61" s="238"/>
      <c r="H61" s="238"/>
      <c r="I61" s="187"/>
      <c r="J61" s="187"/>
      <c r="K61" s="239"/>
    </row>
    <row r="62" spans="1:11" ht="15.6" x14ac:dyDescent="0.3">
      <c r="A62" s="2"/>
      <c r="B62" s="190" t="s">
        <v>81</v>
      </c>
      <c r="C62" s="191"/>
      <c r="D62" s="201">
        <v>99</v>
      </c>
      <c r="E62" s="240"/>
      <c r="F62" s="240"/>
      <c r="G62" s="240"/>
      <c r="H62" s="240"/>
      <c r="I62" s="196"/>
      <c r="J62" s="196"/>
      <c r="K62" s="241"/>
    </row>
    <row r="63" spans="1:11" ht="15.6" x14ac:dyDescent="0.3">
      <c r="A63" s="2"/>
      <c r="B63" s="190" t="s">
        <v>82</v>
      </c>
      <c r="C63" s="191"/>
      <c r="D63" s="194">
        <f>'Price and Yields'!$E$11*'Year 11'!$D$7</f>
        <v>11.200000000000001</v>
      </c>
      <c r="E63" s="240" t="s">
        <v>83</v>
      </c>
      <c r="F63" s="240"/>
      <c r="G63" s="240"/>
      <c r="H63" s="240"/>
      <c r="I63" s="196"/>
      <c r="J63" s="196"/>
      <c r="K63" s="241"/>
    </row>
    <row r="64" spans="1:11" ht="15.6" x14ac:dyDescent="0.3">
      <c r="A64" s="2"/>
      <c r="B64" s="190" t="s">
        <v>84</v>
      </c>
      <c r="C64" s="191"/>
      <c r="D64" s="194">
        <f>'Price and Yields'!$E$12*'Year 11'!$D$7</f>
        <v>0</v>
      </c>
      <c r="E64" s="240" t="s">
        <v>83</v>
      </c>
      <c r="F64" s="240"/>
      <c r="G64" s="240"/>
      <c r="H64" s="240"/>
      <c r="I64" s="196"/>
      <c r="J64" s="196"/>
      <c r="K64" s="241"/>
    </row>
    <row r="65" spans="1:11" ht="15.6" x14ac:dyDescent="0.3">
      <c r="A65" s="2"/>
      <c r="B65" s="190" t="s">
        <v>85</v>
      </c>
      <c r="C65" s="191"/>
      <c r="D65" s="194">
        <f>'Price and Yields'!$E$13*'Year 11'!$D$7</f>
        <v>2.8000000000000003</v>
      </c>
      <c r="E65" s="240" t="s">
        <v>83</v>
      </c>
      <c r="F65" s="240"/>
      <c r="G65" s="240"/>
      <c r="H65" s="240"/>
      <c r="I65" s="196"/>
      <c r="J65" s="196"/>
      <c r="K65" s="241"/>
    </row>
    <row r="66" spans="1:11" ht="15.6" x14ac:dyDescent="0.3">
      <c r="A66" s="2"/>
      <c r="B66" s="199" t="s">
        <v>86</v>
      </c>
      <c r="C66" s="200"/>
      <c r="D66" s="203">
        <f>'Price and Yields'!E14*'Year 11'!D7</f>
        <v>0</v>
      </c>
      <c r="E66" s="242" t="s">
        <v>83</v>
      </c>
      <c r="F66" s="242"/>
      <c r="G66" s="242"/>
      <c r="H66" s="242"/>
      <c r="I66" s="205"/>
      <c r="J66" s="205"/>
      <c r="K66" s="243"/>
    </row>
    <row r="67" spans="1:11" ht="15.6" x14ac:dyDescent="0.3">
      <c r="A67" s="2"/>
      <c r="B67" s="176"/>
      <c r="C67" s="177"/>
      <c r="D67" s="244"/>
      <c r="E67" s="178"/>
      <c r="F67" s="178"/>
      <c r="G67" s="178"/>
      <c r="H67" s="178"/>
      <c r="I67" s="179"/>
      <c r="J67" s="179"/>
      <c r="K67" s="180"/>
    </row>
    <row r="68" spans="1:11" ht="31.2" x14ac:dyDescent="0.3">
      <c r="A68" s="11"/>
      <c r="B68" s="231" t="s">
        <v>87</v>
      </c>
      <c r="C68" s="14"/>
      <c r="D68" s="173" t="s">
        <v>88</v>
      </c>
      <c r="E68" s="173" t="s">
        <v>89</v>
      </c>
      <c r="F68" s="173" t="s">
        <v>28</v>
      </c>
      <c r="G68" s="173" t="s">
        <v>90</v>
      </c>
      <c r="H68" s="173"/>
      <c r="I68" s="174" t="s">
        <v>29</v>
      </c>
      <c r="J68" s="174" t="s">
        <v>30</v>
      </c>
      <c r="K68" s="175" t="s">
        <v>31</v>
      </c>
    </row>
    <row r="69" spans="1:11" ht="15.6" x14ac:dyDescent="0.3">
      <c r="A69" s="2"/>
      <c r="B69" s="181" t="s">
        <v>91</v>
      </c>
      <c r="C69" s="182"/>
      <c r="D69" s="245">
        <v>60</v>
      </c>
      <c r="E69" s="246">
        <v>6</v>
      </c>
      <c r="F69" s="247">
        <f>($D$63+$D$64+$D$65+$D$66)*$D$5</f>
        <v>1960.0000000000002</v>
      </c>
      <c r="G69" s="248">
        <f>'Farm Parameters'!$D$10</f>
        <v>11</v>
      </c>
      <c r="H69" s="238"/>
      <c r="I69" s="188">
        <f>IF(ISERROR(J69/($D$63+$D$64+$D$65)),0,J69/($D$63+$D$64+$D$65))</f>
        <v>1.1000000000000001</v>
      </c>
      <c r="J69" s="189">
        <f>K69/$D$5</f>
        <v>15.400000000000004</v>
      </c>
      <c r="K69" s="249">
        <f>G69*E69*F69/D69</f>
        <v>2156.0000000000005</v>
      </c>
    </row>
    <row r="70" spans="1:11" ht="15.6" x14ac:dyDescent="0.3">
      <c r="A70" s="2"/>
      <c r="B70" s="190" t="s">
        <v>92</v>
      </c>
      <c r="C70" s="191"/>
      <c r="D70" s="250">
        <v>90</v>
      </c>
      <c r="E70" s="251">
        <v>6</v>
      </c>
      <c r="F70" s="252">
        <f>($D$63+$D$64)*$D$5</f>
        <v>1568.0000000000002</v>
      </c>
      <c r="G70" s="253">
        <f>'Farm Parameters'!$D$10</f>
        <v>11</v>
      </c>
      <c r="H70" s="240"/>
      <c r="I70" s="197">
        <f>IF(ISERROR(J70/($D$63+$D$64)),0,J70/($D$63+$D$64))</f>
        <v>0.73333333333333339</v>
      </c>
      <c r="J70" s="198">
        <f>K70/$D$5</f>
        <v>8.2133333333333347</v>
      </c>
      <c r="K70" s="255">
        <f>G70*E70*F70/D70</f>
        <v>1149.8666666666668</v>
      </c>
    </row>
    <row r="71" spans="1:11" ht="15.6" x14ac:dyDescent="0.3">
      <c r="A71" s="2"/>
      <c r="B71" s="190" t="s">
        <v>93</v>
      </c>
      <c r="C71" s="191"/>
      <c r="D71" s="256">
        <v>90</v>
      </c>
      <c r="E71" s="257">
        <v>6</v>
      </c>
      <c r="F71" s="258">
        <f>($D$65)*'Price and Yields'!$E$8/'Price and Yields'!$E$6*$D$5</f>
        <v>225.4</v>
      </c>
      <c r="G71" s="259">
        <f>'Farm Parameters'!$D$10</f>
        <v>11</v>
      </c>
      <c r="H71" s="240"/>
      <c r="I71" s="197">
        <f>IF(ISERROR(J71/($D$65)),0,J71/($D$65))</f>
        <v>0.42166666666666658</v>
      </c>
      <c r="J71" s="198">
        <f>K71/$D$5</f>
        <v>1.1806666666666665</v>
      </c>
      <c r="K71" s="255">
        <f>G71*E71*F71/D71</f>
        <v>165.29333333333332</v>
      </c>
    </row>
    <row r="72" spans="1:11" ht="15.6" x14ac:dyDescent="0.3">
      <c r="A72" s="2"/>
      <c r="B72" s="190" t="s">
        <v>94</v>
      </c>
      <c r="C72" s="191"/>
      <c r="D72" s="240"/>
      <c r="E72" s="240"/>
      <c r="F72" s="240"/>
      <c r="G72" s="240"/>
      <c r="H72" s="240"/>
      <c r="I72" s="254">
        <f>'Year 1'!$I$72</f>
        <v>1.35E-2</v>
      </c>
      <c r="J72" s="255">
        <f t="shared" ref="J72:J77" si="3">K72/$D$5</f>
        <v>0.189</v>
      </c>
      <c r="K72" s="255">
        <f t="shared" ref="K72:K77" si="4">I72*$D$7*$D$5</f>
        <v>26.46</v>
      </c>
    </row>
    <row r="73" spans="1:11" ht="15.6" x14ac:dyDescent="0.3">
      <c r="A73" s="2"/>
      <c r="B73" s="190" t="s">
        <v>95</v>
      </c>
      <c r="C73" s="191"/>
      <c r="D73" s="240"/>
      <c r="E73" s="240"/>
      <c r="F73" s="240"/>
      <c r="G73" s="240"/>
      <c r="H73" s="240"/>
      <c r="I73" s="254">
        <f>'Year 1'!$I$73</f>
        <v>0</v>
      </c>
      <c r="J73" s="255">
        <f t="shared" si="3"/>
        <v>0</v>
      </c>
      <c r="K73" s="255">
        <f t="shared" si="4"/>
        <v>0</v>
      </c>
    </row>
    <row r="74" spans="1:11" ht="15.6" x14ac:dyDescent="0.3">
      <c r="A74" s="2"/>
      <c r="B74" s="190" t="s">
        <v>96</v>
      </c>
      <c r="C74" s="191"/>
      <c r="D74" s="240"/>
      <c r="E74" s="240"/>
      <c r="F74" s="240"/>
      <c r="G74" s="240"/>
      <c r="H74" s="240"/>
      <c r="I74" s="254">
        <f>'Year 1'!$I$74</f>
        <v>1.65</v>
      </c>
      <c r="J74" s="255">
        <f>I74*(D63+D64)</f>
        <v>18.48</v>
      </c>
      <c r="K74" s="255">
        <f>J74*$D$5</f>
        <v>2587.2000000000003</v>
      </c>
    </row>
    <row r="75" spans="1:11" ht="15.6" x14ac:dyDescent="0.3">
      <c r="A75" s="2"/>
      <c r="B75" s="190" t="s">
        <v>97</v>
      </c>
      <c r="C75" s="191"/>
      <c r="D75" s="240"/>
      <c r="E75" s="240"/>
      <c r="F75" s="240"/>
      <c r="G75" s="240"/>
      <c r="H75" s="240"/>
      <c r="I75" s="254">
        <f>'Year 1'!$I$75</f>
        <v>1.38</v>
      </c>
      <c r="J75" s="255">
        <f>I75*($D$65)*'Price and Yields'!$E$8/'Price and Yields'!$E$6</f>
        <v>2.2218</v>
      </c>
      <c r="K75" s="255">
        <f>J75*$D$5</f>
        <v>311.05200000000002</v>
      </c>
    </row>
    <row r="76" spans="1:11" ht="15.6" x14ac:dyDescent="0.3">
      <c r="A76" s="2"/>
      <c r="B76" s="190" t="s">
        <v>98</v>
      </c>
      <c r="C76" s="191"/>
      <c r="D76" s="240"/>
      <c r="E76" s="240"/>
      <c r="F76" s="240"/>
      <c r="G76" s="240"/>
      <c r="H76" s="240"/>
      <c r="I76" s="254">
        <f>'Year 1'!$I$76</f>
        <v>0.02</v>
      </c>
      <c r="J76" s="255">
        <f t="shared" si="3"/>
        <v>0.28000000000000003</v>
      </c>
      <c r="K76" s="255">
        <f t="shared" si="4"/>
        <v>39.200000000000003</v>
      </c>
    </row>
    <row r="77" spans="1:11" ht="15.6" x14ac:dyDescent="0.3">
      <c r="A77" s="2"/>
      <c r="B77" s="190" t="s">
        <v>99</v>
      </c>
      <c r="C77" s="191"/>
      <c r="D77" s="240"/>
      <c r="E77" s="240"/>
      <c r="F77" s="240"/>
      <c r="G77" s="240"/>
      <c r="H77" s="240"/>
      <c r="I77" s="254">
        <f>'Year 1'!$I$77</f>
        <v>0.05</v>
      </c>
      <c r="J77" s="255">
        <f t="shared" si="3"/>
        <v>0.70000000000000007</v>
      </c>
      <c r="K77" s="255">
        <f t="shared" si="4"/>
        <v>98.000000000000014</v>
      </c>
    </row>
    <row r="78" spans="1:11" ht="15.6" x14ac:dyDescent="0.3">
      <c r="A78" s="2"/>
      <c r="B78" s="190" t="s">
        <v>100</v>
      </c>
      <c r="C78" s="19">
        <v>0.125</v>
      </c>
      <c r="D78" s="240"/>
      <c r="E78" s="240"/>
      <c r="F78" s="240"/>
      <c r="G78" s="240"/>
      <c r="H78" s="240"/>
      <c r="I78" s="197">
        <f>C78*'Price and Yields'!$C$16*'Price and Yields'!$E$8</f>
        <v>1.7868750000000002</v>
      </c>
      <c r="J78" s="198">
        <f>I78*(D63+D64+D65)</f>
        <v>25.016250000000007</v>
      </c>
      <c r="K78" s="255">
        <f>J78*D5</f>
        <v>3502.275000000001</v>
      </c>
    </row>
    <row r="79" spans="1:11" ht="15.6" x14ac:dyDescent="0.3">
      <c r="A79" s="2"/>
      <c r="B79" s="199" t="s">
        <v>101</v>
      </c>
      <c r="C79" s="6">
        <v>0.31</v>
      </c>
      <c r="D79" s="242"/>
      <c r="E79" s="242"/>
      <c r="F79" s="242"/>
      <c r="G79" s="242"/>
      <c r="H79" s="242"/>
      <c r="I79" s="206">
        <f>C79</f>
        <v>0.31</v>
      </c>
      <c r="J79" s="207">
        <f>I79*(D63+D64)+I79*(D65*'Price and Yields'!$E$8/'Price and Yields'!$E$6)</f>
        <v>3.9711000000000003</v>
      </c>
      <c r="K79" s="260">
        <f>J79*D5</f>
        <v>555.95400000000006</v>
      </c>
    </row>
    <row r="80" spans="1:11" ht="15.6" x14ac:dyDescent="0.3">
      <c r="A80" s="11"/>
      <c r="B80" s="261" t="s">
        <v>102</v>
      </c>
      <c r="C80" s="262"/>
      <c r="D80" s="263" t="s">
        <v>103</v>
      </c>
      <c r="E80" s="263"/>
      <c r="F80" s="263"/>
      <c r="G80" s="263"/>
      <c r="H80" s="263"/>
      <c r="I80" s="264"/>
      <c r="J80" s="264"/>
      <c r="K80" s="265"/>
    </row>
    <row r="81" spans="1:11" ht="15.6" x14ac:dyDescent="0.3">
      <c r="A81" s="2"/>
      <c r="B81" s="181" t="s">
        <v>104</v>
      </c>
      <c r="C81" s="182"/>
      <c r="D81" s="266">
        <v>145</v>
      </c>
      <c r="E81" s="238"/>
      <c r="F81" s="238"/>
      <c r="G81" s="238"/>
      <c r="H81" s="238"/>
      <c r="I81" s="188">
        <f>D81/$D$61</f>
        <v>1.0069444444444444</v>
      </c>
      <c r="J81" s="189">
        <f>I81*($D$63)</f>
        <v>11.277777777777779</v>
      </c>
      <c r="K81" s="249">
        <f>J81*$D$5</f>
        <v>1578.8888888888889</v>
      </c>
    </row>
    <row r="82" spans="1:11" ht="15.6" x14ac:dyDescent="0.3">
      <c r="A82" s="2"/>
      <c r="B82" s="190" t="s">
        <v>105</v>
      </c>
      <c r="C82" s="191"/>
      <c r="D82" s="267">
        <v>145</v>
      </c>
      <c r="E82" s="240"/>
      <c r="F82" s="240"/>
      <c r="G82" s="240"/>
      <c r="H82" s="240"/>
      <c r="I82" s="197">
        <f>D82/D61</f>
        <v>1.0069444444444444</v>
      </c>
      <c r="J82" s="198">
        <f>I82*($D$64)</f>
        <v>0</v>
      </c>
      <c r="K82" s="255">
        <f>J82*$D$5</f>
        <v>0</v>
      </c>
    </row>
    <row r="83" spans="1:11" ht="15.6" x14ac:dyDescent="0.3">
      <c r="A83" s="2"/>
      <c r="B83" s="199" t="s">
        <v>106</v>
      </c>
      <c r="C83" s="200"/>
      <c r="D83" s="268">
        <v>145</v>
      </c>
      <c r="E83" s="242"/>
      <c r="F83" s="242"/>
      <c r="G83" s="242"/>
      <c r="H83" s="242"/>
      <c r="I83" s="206">
        <f>D83/$D$62</f>
        <v>1.4646464646464648</v>
      </c>
      <c r="J83" s="207">
        <f>I83*($D$65)*'Price and Yields'!$E$8/'Price and Yields'!$E$6</f>
        <v>2.3580808080808087</v>
      </c>
      <c r="K83" s="260">
        <f>J83*$D$5</f>
        <v>330.13131313131322</v>
      </c>
    </row>
    <row r="84" spans="1:11" ht="15.6" x14ac:dyDescent="0.3">
      <c r="A84" s="2"/>
      <c r="B84" s="231" t="s">
        <v>107</v>
      </c>
      <c r="C84" s="232"/>
      <c r="D84" s="233"/>
      <c r="E84" s="233"/>
      <c r="F84" s="233"/>
      <c r="G84" s="233"/>
      <c r="H84" s="233"/>
      <c r="I84" s="235">
        <f>SUM(I69:I83)</f>
        <v>10.943910353535353</v>
      </c>
      <c r="J84" s="235">
        <f>SUM(J69:J83)</f>
        <v>89.28800858585862</v>
      </c>
      <c r="K84" s="237">
        <f>SUM(K69:K83)</f>
        <v>12500.321202020203</v>
      </c>
    </row>
    <row r="85" spans="1:11" ht="15.6" x14ac:dyDescent="0.3">
      <c r="A85" s="2"/>
      <c r="B85" s="2"/>
      <c r="C85" s="162"/>
      <c r="D85" s="162"/>
      <c r="E85" s="162"/>
      <c r="F85" s="162"/>
      <c r="G85" s="162"/>
      <c r="H85" s="162"/>
      <c r="I85" s="164"/>
      <c r="J85" s="164"/>
      <c r="K85" s="164"/>
    </row>
    <row r="86" spans="1:11" ht="15.6" x14ac:dyDescent="0.3">
      <c r="A86" s="2"/>
      <c r="B86" s="231" t="s">
        <v>108</v>
      </c>
      <c r="C86" s="232"/>
      <c r="D86" s="233"/>
      <c r="E86" s="233"/>
      <c r="F86" s="233"/>
      <c r="G86" s="233"/>
      <c r="H86" s="233"/>
      <c r="I86" s="235"/>
      <c r="J86" s="235">
        <f>J84+J58</f>
        <v>112.12737858585862</v>
      </c>
      <c r="K86" s="237">
        <f>K84+K58</f>
        <v>15697.833002020203</v>
      </c>
    </row>
    <row r="87" spans="1:11" ht="15.6" x14ac:dyDescent="0.3">
      <c r="A87" s="2"/>
      <c r="B87" s="269" t="s">
        <v>109</v>
      </c>
      <c r="C87" s="270"/>
      <c r="D87" s="234"/>
      <c r="E87" s="234"/>
      <c r="F87" s="234"/>
      <c r="G87" s="234"/>
      <c r="H87" s="234"/>
      <c r="I87" s="271"/>
      <c r="J87" s="271">
        <f>J14-J86</f>
        <v>88.002621414141402</v>
      </c>
      <c r="K87" s="272">
        <f>K14-K86</f>
        <v>12320.366997979801</v>
      </c>
    </row>
    <row r="88" spans="1:11" ht="15.6" x14ac:dyDescent="0.3">
      <c r="A88" s="2"/>
      <c r="B88" s="2"/>
      <c r="C88" s="162"/>
      <c r="D88" s="273"/>
      <c r="E88" s="273"/>
      <c r="F88" s="273"/>
      <c r="G88" s="273"/>
      <c r="H88" s="273"/>
      <c r="I88" s="164"/>
      <c r="J88" s="164"/>
      <c r="K88" s="164"/>
    </row>
    <row r="89" spans="1:11" ht="15.6" x14ac:dyDescent="0.3">
      <c r="A89" s="2"/>
      <c r="B89" s="2" t="s">
        <v>110</v>
      </c>
      <c r="C89" s="162"/>
      <c r="D89" s="273"/>
      <c r="E89" s="273"/>
      <c r="F89" s="273"/>
      <c r="G89" s="273"/>
      <c r="H89" s="273"/>
      <c r="I89" s="164"/>
      <c r="J89" s="164"/>
      <c r="K89" s="164"/>
    </row>
    <row r="90" spans="1:11" ht="15.6" x14ac:dyDescent="0.3">
      <c r="A90" s="2"/>
      <c r="B90" s="2" t="s">
        <v>111</v>
      </c>
      <c r="C90" s="162"/>
      <c r="D90" s="162"/>
      <c r="E90" s="162"/>
      <c r="F90" s="162"/>
      <c r="G90" s="162"/>
      <c r="H90" s="162"/>
      <c r="I90" s="164"/>
      <c r="J90" s="164"/>
      <c r="K90" s="164"/>
    </row>
  </sheetData>
  <sheetProtection password="8D83" sheet="1" objects="1" scenarios="1"/>
  <phoneticPr fontId="5"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showRowColHeaders="0" zoomScale="75" workbookViewId="0">
      <selection activeCell="Y29" sqref="Y29"/>
    </sheetView>
  </sheetViews>
  <sheetFormatPr defaultRowHeight="13.2" x14ac:dyDescent="0.25"/>
  <cols>
    <col min="2" max="2" width="28.109375" customWidth="1"/>
    <col min="3" max="3" width="25" customWidth="1"/>
    <col min="4" max="11" width="16.44140625" customWidth="1"/>
  </cols>
  <sheetData>
    <row r="1" spans="1:11" ht="24.6" x14ac:dyDescent="0.4">
      <c r="A1" s="161" t="s">
        <v>122</v>
      </c>
      <c r="B1" s="2"/>
      <c r="C1" s="162"/>
      <c r="D1" s="163"/>
      <c r="E1" s="162"/>
      <c r="F1" s="162"/>
      <c r="G1" s="162"/>
      <c r="H1" s="162"/>
      <c r="I1" s="164"/>
      <c r="J1" s="164"/>
      <c r="K1" s="164"/>
    </row>
    <row r="2" spans="1:11" ht="15.6" x14ac:dyDescent="0.3">
      <c r="A2" s="2"/>
      <c r="B2" s="2"/>
      <c r="C2" s="162"/>
      <c r="D2" s="162"/>
      <c r="E2" s="162"/>
      <c r="F2" s="162"/>
      <c r="G2" s="162"/>
      <c r="H2" s="162"/>
      <c r="I2" s="164"/>
      <c r="J2" s="164"/>
      <c r="K2" s="164"/>
    </row>
    <row r="3" spans="1:11" ht="17.399999999999999" x14ac:dyDescent="0.3">
      <c r="A3" s="7" t="s">
        <v>22</v>
      </c>
      <c r="B3" s="2"/>
      <c r="C3" s="162"/>
      <c r="D3" s="162"/>
      <c r="E3" s="162"/>
      <c r="F3" s="162"/>
      <c r="G3" s="162"/>
      <c r="H3" s="162"/>
      <c r="I3" s="164"/>
      <c r="J3" s="164"/>
      <c r="K3" s="164"/>
    </row>
    <row r="4" spans="1:11" ht="17.399999999999999" x14ac:dyDescent="0.3">
      <c r="A4" s="7"/>
      <c r="B4" s="2"/>
      <c r="C4" s="162"/>
      <c r="D4" s="162"/>
      <c r="E4" s="162"/>
      <c r="F4" s="162"/>
      <c r="G4" s="162"/>
      <c r="H4" s="162"/>
      <c r="I4" s="164"/>
      <c r="J4" s="164"/>
      <c r="K4" s="164"/>
    </row>
    <row r="5" spans="1:11" ht="15.6" x14ac:dyDescent="0.3">
      <c r="A5" s="2"/>
      <c r="B5" s="2" t="s">
        <v>23</v>
      </c>
      <c r="C5" s="162"/>
      <c r="D5" s="165">
        <f>'Farm Parameters'!D6</f>
        <v>140</v>
      </c>
      <c r="E5" s="162"/>
      <c r="F5" s="162"/>
      <c r="G5" s="162"/>
      <c r="H5" s="162"/>
      <c r="I5" s="164"/>
      <c r="J5" s="164"/>
      <c r="K5" s="164"/>
    </row>
    <row r="6" spans="1:11" ht="6" customHeight="1" x14ac:dyDescent="0.3">
      <c r="A6" s="2"/>
      <c r="B6" s="2"/>
      <c r="C6" s="162"/>
      <c r="D6" s="166"/>
      <c r="E6" s="162"/>
      <c r="F6" s="162"/>
      <c r="G6" s="162"/>
      <c r="H6" s="162"/>
      <c r="I6" s="164"/>
      <c r="J6" s="164"/>
      <c r="K6" s="164"/>
    </row>
    <row r="7" spans="1:11" ht="15.6" x14ac:dyDescent="0.3">
      <c r="A7" s="2"/>
      <c r="B7" s="2" t="s">
        <v>24</v>
      </c>
      <c r="C7" s="162"/>
      <c r="D7" s="167">
        <f>'Price and Yields'!C32</f>
        <v>14</v>
      </c>
      <c r="E7" s="162"/>
      <c r="F7" s="162"/>
      <c r="G7" s="162"/>
      <c r="H7" s="162"/>
      <c r="I7" s="164"/>
      <c r="J7" s="164"/>
      <c r="K7" s="164"/>
    </row>
    <row r="8" spans="1:11" ht="6" customHeight="1" x14ac:dyDescent="0.3">
      <c r="A8" s="2"/>
      <c r="B8" s="2"/>
      <c r="C8" s="162"/>
      <c r="D8" s="162"/>
      <c r="E8" s="162"/>
      <c r="F8" s="162"/>
      <c r="G8" s="162"/>
      <c r="H8" s="162"/>
      <c r="I8" s="164"/>
      <c r="J8" s="164"/>
      <c r="K8" s="164"/>
    </row>
    <row r="9" spans="1:11" ht="15.6" x14ac:dyDescent="0.3">
      <c r="A9" s="2"/>
      <c r="B9" s="2" t="s">
        <v>25</v>
      </c>
      <c r="C9" s="162"/>
      <c r="D9" s="20">
        <f>'Price and Yields'!$C$16</f>
        <v>2.4860869565217394</v>
      </c>
      <c r="E9" s="162"/>
      <c r="F9" s="162"/>
      <c r="G9" s="162"/>
      <c r="H9" s="162"/>
      <c r="I9" s="164"/>
      <c r="J9" s="164"/>
      <c r="K9" s="164"/>
    </row>
    <row r="10" spans="1:11" ht="6" customHeight="1" x14ac:dyDescent="0.3">
      <c r="A10" s="2"/>
      <c r="B10" s="2"/>
      <c r="C10" s="162"/>
      <c r="D10" s="164"/>
      <c r="E10" s="162"/>
      <c r="F10" s="162"/>
      <c r="G10" s="162"/>
      <c r="H10" s="162"/>
      <c r="I10" s="164"/>
      <c r="J10" s="164"/>
      <c r="K10" s="164"/>
    </row>
    <row r="11" spans="1:11" ht="15.6" x14ac:dyDescent="0.3">
      <c r="A11" s="2"/>
      <c r="B11" s="2" t="s">
        <v>26</v>
      </c>
      <c r="C11" s="162"/>
      <c r="D11" s="5">
        <v>1000</v>
      </c>
      <c r="E11" s="162"/>
      <c r="F11" s="162"/>
      <c r="G11" s="162"/>
      <c r="H11" s="162"/>
      <c r="I11" s="164"/>
      <c r="J11" s="164"/>
      <c r="K11" s="164"/>
    </row>
    <row r="12" spans="1:11" ht="15.6" x14ac:dyDescent="0.3">
      <c r="A12" s="2"/>
      <c r="B12" s="2"/>
      <c r="C12" s="162"/>
      <c r="D12" s="168"/>
      <c r="E12" s="162"/>
      <c r="F12" s="162"/>
      <c r="G12" s="162"/>
      <c r="H12" s="162"/>
      <c r="I12" s="164"/>
      <c r="J12" s="164"/>
      <c r="K12" s="164"/>
    </row>
    <row r="13" spans="1:11" ht="17.399999999999999" x14ac:dyDescent="0.3">
      <c r="A13" s="7" t="s">
        <v>27</v>
      </c>
      <c r="B13" s="11"/>
      <c r="C13" s="162"/>
      <c r="D13" s="169"/>
      <c r="E13" s="169"/>
      <c r="F13" s="169"/>
      <c r="G13" s="162"/>
      <c r="H13" s="169" t="s">
        <v>28</v>
      </c>
      <c r="I13" s="170" t="s">
        <v>29</v>
      </c>
      <c r="J13" s="170" t="s">
        <v>30</v>
      </c>
      <c r="K13" s="170" t="s">
        <v>31</v>
      </c>
    </row>
    <row r="14" spans="1:11" ht="17.399999999999999" x14ac:dyDescent="0.3">
      <c r="A14" s="7"/>
      <c r="B14" s="11" t="s">
        <v>33</v>
      </c>
      <c r="C14" s="169"/>
      <c r="D14" s="162"/>
      <c r="E14" s="162"/>
      <c r="F14" s="162"/>
      <c r="G14" s="162"/>
      <c r="H14" s="171">
        <f>D7*D5</f>
        <v>1960</v>
      </c>
      <c r="I14" s="22">
        <f>IF(ISERROR(J14/D7),0,J14/D7)</f>
        <v>14.295000000000002</v>
      </c>
      <c r="J14" s="22">
        <f>K14/D5</f>
        <v>200.13000000000002</v>
      </c>
      <c r="K14" s="22">
        <f>H14*D9*'Price and Yields'!$E$8</f>
        <v>28018.200000000004</v>
      </c>
    </row>
    <row r="15" spans="1:11" ht="15.6" x14ac:dyDescent="0.3">
      <c r="A15" s="2"/>
      <c r="B15" s="2"/>
      <c r="C15" s="162"/>
      <c r="D15" s="162"/>
      <c r="E15" s="162"/>
      <c r="F15" s="162"/>
      <c r="G15" s="162"/>
      <c r="H15" s="162"/>
      <c r="I15" s="164"/>
      <c r="J15" s="164"/>
      <c r="K15" s="164"/>
    </row>
    <row r="16" spans="1:11" ht="17.399999999999999" x14ac:dyDescent="0.3">
      <c r="A16" s="172" t="s">
        <v>34</v>
      </c>
      <c r="B16" s="2"/>
      <c r="C16" s="162"/>
      <c r="D16" s="162"/>
      <c r="E16" s="162"/>
      <c r="F16" s="162"/>
      <c r="G16" s="162"/>
      <c r="H16" s="162"/>
      <c r="I16" s="164"/>
      <c r="J16" s="164"/>
      <c r="K16" s="164"/>
    </row>
    <row r="17" spans="1:11" ht="6" customHeight="1" x14ac:dyDescent="0.3">
      <c r="A17" s="172"/>
      <c r="B17" s="2"/>
      <c r="C17" s="162"/>
      <c r="D17" s="162"/>
      <c r="E17" s="162"/>
      <c r="F17" s="162"/>
      <c r="G17" s="162"/>
      <c r="H17" s="162"/>
      <c r="I17" s="164"/>
      <c r="J17" s="164"/>
      <c r="K17" s="164"/>
    </row>
    <row r="18" spans="1:11" ht="15.6" x14ac:dyDescent="0.3">
      <c r="A18" s="11"/>
      <c r="B18" s="12" t="s">
        <v>35</v>
      </c>
      <c r="C18" s="14"/>
      <c r="D18" s="173" t="s">
        <v>36</v>
      </c>
      <c r="E18" s="173" t="s">
        <v>37</v>
      </c>
      <c r="F18" s="173" t="s">
        <v>38</v>
      </c>
      <c r="G18" s="173" t="s">
        <v>39</v>
      </c>
      <c r="H18" s="173" t="s">
        <v>40</v>
      </c>
      <c r="I18" s="174"/>
      <c r="J18" s="174" t="s">
        <v>30</v>
      </c>
      <c r="K18" s="175" t="s">
        <v>31</v>
      </c>
    </row>
    <row r="19" spans="1:11" ht="15.6" x14ac:dyDescent="0.3">
      <c r="A19" s="2"/>
      <c r="B19" s="176" t="s">
        <v>41</v>
      </c>
      <c r="C19" s="177"/>
      <c r="D19" s="178"/>
      <c r="E19" s="178"/>
      <c r="F19" s="178"/>
      <c r="G19" s="178"/>
      <c r="H19" s="178"/>
      <c r="I19" s="179"/>
      <c r="J19" s="179"/>
      <c r="K19" s="180"/>
    </row>
    <row r="20" spans="1:11" ht="15.6" x14ac:dyDescent="0.3">
      <c r="A20" s="2"/>
      <c r="B20" s="181" t="s">
        <v>42</v>
      </c>
      <c r="C20" s="182"/>
      <c r="D20" s="183">
        <v>6</v>
      </c>
      <c r="E20" s="184" t="s">
        <v>43</v>
      </c>
      <c r="F20" s="185" t="s">
        <v>44</v>
      </c>
      <c r="G20" s="183">
        <v>1</v>
      </c>
      <c r="H20" s="186">
        <f>'Year 1'!$H$20</f>
        <v>1.65</v>
      </c>
      <c r="I20" s="187"/>
      <c r="J20" s="188">
        <f>K20/$D$5</f>
        <v>7.0714285714285702E-2</v>
      </c>
      <c r="K20" s="189">
        <f>H20*G20*D20</f>
        <v>9.8999999999999986</v>
      </c>
    </row>
    <row r="21" spans="1:11" ht="15.6" x14ac:dyDescent="0.3">
      <c r="A21" s="2"/>
      <c r="B21" s="190" t="s">
        <v>45</v>
      </c>
      <c r="C21" s="191"/>
      <c r="D21" s="192">
        <v>18</v>
      </c>
      <c r="E21" s="193" t="s">
        <v>43</v>
      </c>
      <c r="F21" s="194" t="s">
        <v>44</v>
      </c>
      <c r="G21" s="192">
        <v>0.4</v>
      </c>
      <c r="H21" s="195">
        <f>'Year 1'!$H$21</f>
        <v>3</v>
      </c>
      <c r="I21" s="196"/>
      <c r="J21" s="197">
        <f>K21/$D$5</f>
        <v>0.1542857142857143</v>
      </c>
      <c r="K21" s="198">
        <f>H21*G21*D21</f>
        <v>21.6</v>
      </c>
    </row>
    <row r="22" spans="1:11" ht="15.6" x14ac:dyDescent="0.3">
      <c r="A22" s="2"/>
      <c r="B22" s="199" t="s">
        <v>46</v>
      </c>
      <c r="C22" s="200"/>
      <c r="D22" s="201">
        <v>6</v>
      </c>
      <c r="E22" s="202" t="s">
        <v>43</v>
      </c>
      <c r="F22" s="203" t="s">
        <v>44</v>
      </c>
      <c r="G22" s="201">
        <v>0.4</v>
      </c>
      <c r="H22" s="204">
        <f>'Year 1'!$H$22</f>
        <v>1.65</v>
      </c>
      <c r="I22" s="205"/>
      <c r="J22" s="206">
        <f>K22/$D$5</f>
        <v>2.8285714285714286E-2</v>
      </c>
      <c r="K22" s="207">
        <f>H22*G22*D22</f>
        <v>3.96</v>
      </c>
    </row>
    <row r="23" spans="1:11" ht="15.6" x14ac:dyDescent="0.3">
      <c r="A23" s="2"/>
      <c r="B23" s="21" t="s">
        <v>47</v>
      </c>
      <c r="C23" s="208"/>
      <c r="D23" s="209"/>
      <c r="E23" s="209"/>
      <c r="F23" s="209"/>
      <c r="G23" s="209"/>
      <c r="H23" s="210"/>
      <c r="I23" s="23"/>
      <c r="J23" s="23"/>
      <c r="K23" s="211">
        <f>SUM(K20:K22)</f>
        <v>35.46</v>
      </c>
    </row>
    <row r="24" spans="1:11" ht="15.6" x14ac:dyDescent="0.3">
      <c r="A24" s="2"/>
      <c r="B24" s="176" t="s">
        <v>48</v>
      </c>
      <c r="C24" s="177"/>
      <c r="D24" s="178"/>
      <c r="E24" s="178"/>
      <c r="F24" s="178"/>
      <c r="G24" s="178"/>
      <c r="H24" s="212"/>
      <c r="I24" s="179"/>
      <c r="J24" s="179"/>
      <c r="K24" s="180"/>
    </row>
    <row r="25" spans="1:11" ht="15.6" x14ac:dyDescent="0.3">
      <c r="A25" s="2"/>
      <c r="B25" s="181" t="s">
        <v>49</v>
      </c>
      <c r="C25" s="182"/>
      <c r="D25" s="183">
        <v>2</v>
      </c>
      <c r="E25" s="184" t="s">
        <v>43</v>
      </c>
      <c r="F25" s="183">
        <v>0.06</v>
      </c>
      <c r="G25" s="213">
        <f>F25*$D$5</f>
        <v>8.4</v>
      </c>
      <c r="H25" s="186">
        <f>'Farm Parameters'!$D$10</f>
        <v>11</v>
      </c>
      <c r="I25" s="187"/>
      <c r="J25" s="188">
        <f>K25/$D$5</f>
        <v>1.32</v>
      </c>
      <c r="K25" s="189">
        <f>H25*G25*D25</f>
        <v>184.8</v>
      </c>
    </row>
    <row r="26" spans="1:11" ht="15.6" x14ac:dyDescent="0.3">
      <c r="A26" s="2"/>
      <c r="B26" s="190" t="s">
        <v>50</v>
      </c>
      <c r="C26" s="191"/>
      <c r="D26" s="192">
        <v>1</v>
      </c>
      <c r="E26" s="193" t="s">
        <v>43</v>
      </c>
      <c r="F26" s="192">
        <v>0.2</v>
      </c>
      <c r="G26" s="214">
        <f>F26*$D$5</f>
        <v>28</v>
      </c>
      <c r="H26" s="195">
        <f>H25</f>
        <v>11</v>
      </c>
      <c r="I26" s="196"/>
      <c r="J26" s="197">
        <f>K26/$D$5</f>
        <v>2.2000000000000002</v>
      </c>
      <c r="K26" s="198">
        <f>H26*G26*D26</f>
        <v>308</v>
      </c>
    </row>
    <row r="27" spans="1:11" ht="15.6" x14ac:dyDescent="0.3">
      <c r="A27" s="2"/>
      <c r="B27" s="199" t="s">
        <v>51</v>
      </c>
      <c r="C27" s="200"/>
      <c r="D27" s="201">
        <v>1</v>
      </c>
      <c r="E27" s="202" t="s">
        <v>43</v>
      </c>
      <c r="F27" s="201">
        <v>0.25</v>
      </c>
      <c r="G27" s="215">
        <f>F27*$D$5</f>
        <v>35</v>
      </c>
      <c r="H27" s="204">
        <f>H25</f>
        <v>11</v>
      </c>
      <c r="I27" s="205"/>
      <c r="J27" s="206">
        <f>K27/$D$5</f>
        <v>2.75</v>
      </c>
      <c r="K27" s="207">
        <f>H27*G27*D27</f>
        <v>385</v>
      </c>
    </row>
    <row r="28" spans="1:11" ht="15.6" x14ac:dyDescent="0.3">
      <c r="A28" s="2"/>
      <c r="B28" s="21" t="s">
        <v>47</v>
      </c>
      <c r="C28" s="208"/>
      <c r="D28" s="209"/>
      <c r="E28" s="209"/>
      <c r="F28" s="209"/>
      <c r="G28" s="209"/>
      <c r="H28" s="210"/>
      <c r="I28" s="23"/>
      <c r="J28" s="23"/>
      <c r="K28" s="211">
        <f>SUM(K25:K27)</f>
        <v>877.8</v>
      </c>
    </row>
    <row r="29" spans="1:11" ht="15.6" x14ac:dyDescent="0.3">
      <c r="A29" s="2"/>
      <c r="B29" s="176" t="s">
        <v>46</v>
      </c>
      <c r="C29" s="177"/>
      <c r="D29" s="178"/>
      <c r="E29" s="178"/>
      <c r="F29" s="178"/>
      <c r="G29" s="178"/>
      <c r="H29" s="216"/>
      <c r="I29" s="179"/>
      <c r="J29" s="179"/>
      <c r="K29" s="180"/>
    </row>
    <row r="30" spans="1:11" ht="15.6" x14ac:dyDescent="0.3">
      <c r="A30" s="2"/>
      <c r="B30" s="181" t="s">
        <v>52</v>
      </c>
      <c r="C30" s="182"/>
      <c r="D30" s="183">
        <v>0</v>
      </c>
      <c r="E30" s="184" t="s">
        <v>53</v>
      </c>
      <c r="F30" s="183">
        <v>0.2</v>
      </c>
      <c r="G30" s="185">
        <f>F30*$D$5</f>
        <v>28</v>
      </c>
      <c r="H30" s="186">
        <f>'Year 1'!$H$30</f>
        <v>0.47</v>
      </c>
      <c r="I30" s="187"/>
      <c r="J30" s="189">
        <f t="shared" ref="J30:J37" si="0">K30/$D$5</f>
        <v>0</v>
      </c>
      <c r="K30" s="189">
        <f t="shared" ref="K30:K37" si="1">H30*G30*D30</f>
        <v>0</v>
      </c>
    </row>
    <row r="31" spans="1:11" ht="15.6" x14ac:dyDescent="0.3">
      <c r="A31" s="2"/>
      <c r="B31" s="190" t="s">
        <v>54</v>
      </c>
      <c r="C31" s="191"/>
      <c r="D31" s="192">
        <v>3</v>
      </c>
      <c r="E31" s="193" t="s">
        <v>53</v>
      </c>
      <c r="F31" s="192">
        <v>1.6</v>
      </c>
      <c r="G31" s="194">
        <f t="shared" ref="G31:G37" si="2">F31*$D$5</f>
        <v>224</v>
      </c>
      <c r="H31" s="195">
        <f>'Year 1'!$H$31</f>
        <v>0.53</v>
      </c>
      <c r="I31" s="196"/>
      <c r="J31" s="198">
        <f t="shared" si="0"/>
        <v>2.5439999999999996</v>
      </c>
      <c r="K31" s="198">
        <f t="shared" si="1"/>
        <v>356.15999999999997</v>
      </c>
    </row>
    <row r="32" spans="1:11" ht="15.6" x14ac:dyDescent="0.3">
      <c r="A32" s="2"/>
      <c r="B32" s="190" t="s">
        <v>55</v>
      </c>
      <c r="C32" s="191"/>
      <c r="D32" s="192">
        <v>0</v>
      </c>
      <c r="E32" s="193" t="s">
        <v>56</v>
      </c>
      <c r="F32" s="192">
        <v>0.35</v>
      </c>
      <c r="G32" s="194">
        <f t="shared" si="2"/>
        <v>49</v>
      </c>
      <c r="H32" s="195">
        <f>'Year 1'!$H$32</f>
        <v>3.0000000000000001E-3</v>
      </c>
      <c r="I32" s="196"/>
      <c r="J32" s="198">
        <f t="shared" si="0"/>
        <v>0</v>
      </c>
      <c r="K32" s="198">
        <f t="shared" si="1"/>
        <v>0</v>
      </c>
    </row>
    <row r="33" spans="1:11" ht="15.6" x14ac:dyDescent="0.3">
      <c r="A33" s="2"/>
      <c r="B33" s="190" t="s">
        <v>57</v>
      </c>
      <c r="C33" s="191"/>
      <c r="D33" s="192">
        <v>1</v>
      </c>
      <c r="E33" s="193" t="s">
        <v>58</v>
      </c>
      <c r="F33" s="192">
        <v>4</v>
      </c>
      <c r="G33" s="194">
        <f t="shared" si="2"/>
        <v>560</v>
      </c>
      <c r="H33" s="195">
        <f>'Year 1'!$H$33</f>
        <v>1.5</v>
      </c>
      <c r="I33" s="196"/>
      <c r="J33" s="198">
        <f t="shared" si="0"/>
        <v>6</v>
      </c>
      <c r="K33" s="198">
        <f t="shared" si="1"/>
        <v>840</v>
      </c>
    </row>
    <row r="34" spans="1:11" ht="15.6" x14ac:dyDescent="0.3">
      <c r="A34" s="2"/>
      <c r="B34" s="190" t="s">
        <v>59</v>
      </c>
      <c r="C34" s="191"/>
      <c r="D34" s="192">
        <v>1</v>
      </c>
      <c r="E34" s="193" t="s">
        <v>53</v>
      </c>
      <c r="F34" s="192">
        <v>0.2</v>
      </c>
      <c r="G34" s="194">
        <f t="shared" si="2"/>
        <v>28</v>
      </c>
      <c r="H34" s="195">
        <f>'Year 1'!$H$34</f>
        <v>0.88</v>
      </c>
      <c r="I34" s="196"/>
      <c r="J34" s="198">
        <f t="shared" si="0"/>
        <v>0.17600000000000002</v>
      </c>
      <c r="K34" s="198">
        <f t="shared" si="1"/>
        <v>24.64</v>
      </c>
    </row>
    <row r="35" spans="1:11" ht="15.6" x14ac:dyDescent="0.3">
      <c r="A35" s="2"/>
      <c r="B35" s="190" t="s">
        <v>60</v>
      </c>
      <c r="C35" s="191"/>
      <c r="D35" s="192">
        <v>1</v>
      </c>
      <c r="E35" s="193" t="s">
        <v>53</v>
      </c>
      <c r="F35" s="192">
        <v>0.5</v>
      </c>
      <c r="G35" s="194">
        <f t="shared" si="2"/>
        <v>70</v>
      </c>
      <c r="H35" s="195">
        <f>'Year 1'!$H$35</f>
        <v>1</v>
      </c>
      <c r="I35" s="196"/>
      <c r="J35" s="198">
        <f t="shared" si="0"/>
        <v>0.5</v>
      </c>
      <c r="K35" s="198">
        <f t="shared" si="1"/>
        <v>70</v>
      </c>
    </row>
    <row r="36" spans="1:11" ht="15.6" x14ac:dyDescent="0.3">
      <c r="A36" s="2"/>
      <c r="B36" s="190" t="s">
        <v>61</v>
      </c>
      <c r="C36" s="191"/>
      <c r="D36" s="192">
        <v>3</v>
      </c>
      <c r="E36" s="193" t="s">
        <v>53</v>
      </c>
      <c r="F36" s="192">
        <v>0.15</v>
      </c>
      <c r="G36" s="194">
        <f t="shared" si="2"/>
        <v>21</v>
      </c>
      <c r="H36" s="195">
        <f>'Year 1'!$H$36</f>
        <v>2.7792000000000003</v>
      </c>
      <c r="I36" s="196"/>
      <c r="J36" s="198">
        <f t="shared" si="0"/>
        <v>1.2506400000000002</v>
      </c>
      <c r="K36" s="198">
        <f t="shared" si="1"/>
        <v>175.08960000000002</v>
      </c>
    </row>
    <row r="37" spans="1:11" ht="15.6" x14ac:dyDescent="0.3">
      <c r="A37" s="2"/>
      <c r="B37" s="199" t="s">
        <v>62</v>
      </c>
      <c r="C37" s="200"/>
      <c r="D37" s="201">
        <v>1</v>
      </c>
      <c r="E37" s="193" t="s">
        <v>53</v>
      </c>
      <c r="F37" s="201">
        <v>2</v>
      </c>
      <c r="G37" s="203">
        <f t="shared" si="2"/>
        <v>280</v>
      </c>
      <c r="H37" s="204">
        <f>'Year 1'!$H$37</f>
        <v>0.14000000000000001</v>
      </c>
      <c r="I37" s="205"/>
      <c r="J37" s="207">
        <f t="shared" si="0"/>
        <v>0.28000000000000003</v>
      </c>
      <c r="K37" s="207">
        <f t="shared" si="1"/>
        <v>39.200000000000003</v>
      </c>
    </row>
    <row r="38" spans="1:11" ht="15.6" x14ac:dyDescent="0.3">
      <c r="A38" s="2"/>
      <c r="B38" s="21" t="s">
        <v>47</v>
      </c>
      <c r="C38" s="208"/>
      <c r="D38" s="209"/>
      <c r="E38" s="209"/>
      <c r="F38" s="209"/>
      <c r="G38" s="209"/>
      <c r="H38" s="217"/>
      <c r="I38" s="23"/>
      <c r="J38" s="23"/>
      <c r="K38" s="211">
        <f>SUM(K30:K37)</f>
        <v>1505.0896</v>
      </c>
    </row>
    <row r="39" spans="1:11" ht="15.6" x14ac:dyDescent="0.3">
      <c r="A39" s="2"/>
      <c r="B39" s="176" t="s">
        <v>63</v>
      </c>
      <c r="C39" s="177"/>
      <c r="D39" s="178"/>
      <c r="E39" s="178"/>
      <c r="F39" s="178"/>
      <c r="G39" s="178"/>
      <c r="H39" s="216"/>
      <c r="I39" s="179"/>
      <c r="J39" s="179"/>
      <c r="K39" s="180"/>
    </row>
    <row r="40" spans="1:11" ht="15.6" x14ac:dyDescent="0.3">
      <c r="A40" s="2"/>
      <c r="B40" s="181" t="s">
        <v>64</v>
      </c>
      <c r="C40" s="182"/>
      <c r="D40" s="183">
        <v>5</v>
      </c>
      <c r="E40" s="184" t="s">
        <v>56</v>
      </c>
      <c r="F40" s="218">
        <v>8.0000000000000002E-3</v>
      </c>
      <c r="G40" s="213">
        <f>F40*$D$5</f>
        <v>1.1200000000000001</v>
      </c>
      <c r="H40" s="186">
        <f>'Year 1'!$H$40</f>
        <v>9.75</v>
      </c>
      <c r="I40" s="187"/>
      <c r="J40" s="188">
        <f>K40/$D$5</f>
        <v>0.39000000000000007</v>
      </c>
      <c r="K40" s="189">
        <f>H40*G40*D40</f>
        <v>54.600000000000009</v>
      </c>
    </row>
    <row r="41" spans="1:11" ht="15.6" x14ac:dyDescent="0.3">
      <c r="A41" s="2"/>
      <c r="B41" s="219" t="s">
        <v>65</v>
      </c>
      <c r="C41" s="191"/>
      <c r="D41" s="192">
        <v>0</v>
      </c>
      <c r="E41" s="193" t="s">
        <v>56</v>
      </c>
      <c r="F41" s="220">
        <v>0.03</v>
      </c>
      <c r="G41" s="214">
        <f>F41*$D$5</f>
        <v>4.2</v>
      </c>
      <c r="H41" s="195">
        <f>'Year 1'!$H$41</f>
        <v>0</v>
      </c>
      <c r="I41" s="196"/>
      <c r="J41" s="197">
        <f>K41/$D$5</f>
        <v>0</v>
      </c>
      <c r="K41" s="198">
        <f>H41*G41*D41</f>
        <v>0</v>
      </c>
    </row>
    <row r="42" spans="1:11" ht="15.6" x14ac:dyDescent="0.3">
      <c r="A42" s="2"/>
      <c r="B42" s="221" t="s">
        <v>65</v>
      </c>
      <c r="C42" s="200"/>
      <c r="D42" s="201">
        <v>0</v>
      </c>
      <c r="E42" s="202" t="s">
        <v>56</v>
      </c>
      <c r="F42" s="222">
        <v>0.03</v>
      </c>
      <c r="G42" s="215">
        <f>F42*$D$5</f>
        <v>4.2</v>
      </c>
      <c r="H42" s="204">
        <f>'Year 1'!$H$42</f>
        <v>0</v>
      </c>
      <c r="I42" s="205"/>
      <c r="J42" s="206">
        <f>K42/$D$5</f>
        <v>0</v>
      </c>
      <c r="K42" s="207">
        <f>H42*G42*D42</f>
        <v>0</v>
      </c>
    </row>
    <row r="43" spans="1:11" ht="15.6" x14ac:dyDescent="0.3">
      <c r="A43" s="2"/>
      <c r="B43" s="21" t="s">
        <v>47</v>
      </c>
      <c r="C43" s="208"/>
      <c r="D43" s="209"/>
      <c r="E43" s="209"/>
      <c r="F43" s="209"/>
      <c r="G43" s="209"/>
      <c r="H43" s="217"/>
      <c r="I43" s="23"/>
      <c r="J43" s="23"/>
      <c r="K43" s="211">
        <f>SUM(K40:K42)</f>
        <v>54.600000000000009</v>
      </c>
    </row>
    <row r="44" spans="1:11" ht="15.6" x14ac:dyDescent="0.3">
      <c r="A44" s="11"/>
      <c r="B44" s="176" t="s">
        <v>66</v>
      </c>
      <c r="C44" s="177"/>
      <c r="D44" s="178"/>
      <c r="E44" s="178"/>
      <c r="F44" s="178"/>
      <c r="G44" s="178"/>
      <c r="H44" s="212"/>
      <c r="I44" s="179"/>
      <c r="J44" s="179"/>
      <c r="K44" s="180"/>
    </row>
    <row r="45" spans="1:11" ht="15.6" x14ac:dyDescent="0.3">
      <c r="A45" s="2"/>
      <c r="B45" s="190" t="s">
        <v>68</v>
      </c>
      <c r="C45" s="223"/>
      <c r="D45" s="183">
        <v>7</v>
      </c>
      <c r="E45" s="193" t="s">
        <v>56</v>
      </c>
      <c r="F45" s="224">
        <f>IF(D45=0,0,$D$11/100*'Year 1'!$C45/$D$5)</f>
        <v>1.0714285714285714E-2</v>
      </c>
      <c r="G45" s="194">
        <f>F45*$D$5</f>
        <v>1.5</v>
      </c>
      <c r="H45" s="195">
        <f>'Year 1'!$H$45</f>
        <v>7.65</v>
      </c>
      <c r="I45" s="196"/>
      <c r="J45" s="198">
        <f>K45/$D$5</f>
        <v>0.57375000000000009</v>
      </c>
      <c r="K45" s="198">
        <f>H45*G45*D45</f>
        <v>80.325000000000017</v>
      </c>
    </row>
    <row r="46" spans="1:11" ht="15.6" x14ac:dyDescent="0.3">
      <c r="A46" s="2"/>
      <c r="B46" s="190" t="s">
        <v>69</v>
      </c>
      <c r="C46" s="223"/>
      <c r="D46" s="192">
        <v>4</v>
      </c>
      <c r="E46" s="193" t="s">
        <v>56</v>
      </c>
      <c r="F46" s="224">
        <f>IF(D46=0,0,$D$11/100*'Year 1'!$C46/$D$5)</f>
        <v>7.1428571428571426E-3</v>
      </c>
      <c r="G46" s="194">
        <f>F46*$D$5</f>
        <v>1</v>
      </c>
      <c r="H46" s="195">
        <f>'Year 1'!$H$46</f>
        <v>17.82</v>
      </c>
      <c r="I46" s="196"/>
      <c r="J46" s="198">
        <f>K46/$D$5</f>
        <v>0.50914285714285712</v>
      </c>
      <c r="K46" s="198">
        <f>H46*G46*D46</f>
        <v>71.28</v>
      </c>
    </row>
    <row r="47" spans="1:11" ht="15.6" x14ac:dyDescent="0.3">
      <c r="A47" s="2"/>
      <c r="B47" s="190" t="s">
        <v>70</v>
      </c>
      <c r="C47" s="223"/>
      <c r="D47" s="192">
        <v>2</v>
      </c>
      <c r="E47" s="193" t="s">
        <v>56</v>
      </c>
      <c r="F47" s="224">
        <f>IF(D47=0,0,$D$11/100*'Year 1'!$C47/$D$5)</f>
        <v>2.7142857142857142E-3</v>
      </c>
      <c r="G47" s="194">
        <f>F47*$D$5</f>
        <v>0.38</v>
      </c>
      <c r="H47" s="195">
        <f>'Year 1'!$H$47</f>
        <v>82.72</v>
      </c>
      <c r="I47" s="196"/>
      <c r="J47" s="198">
        <f>K47/$D$5</f>
        <v>0.44905142857142855</v>
      </c>
      <c r="K47" s="198">
        <f>H47*G47*D47</f>
        <v>62.867199999999997</v>
      </c>
    </row>
    <row r="48" spans="1:11" ht="15.6" x14ac:dyDescent="0.3">
      <c r="A48" s="2"/>
      <c r="B48" s="190" t="s">
        <v>71</v>
      </c>
      <c r="C48" s="223"/>
      <c r="D48" s="201">
        <v>3</v>
      </c>
      <c r="E48" s="193" t="s">
        <v>56</v>
      </c>
      <c r="F48" s="224">
        <f>IF(D48=0,0,$D$11/100*'Year 1'!$C48/$D$5)</f>
        <v>5.3571428571428572E-3</v>
      </c>
      <c r="G48" s="194">
        <f>F48*$D$5</f>
        <v>0.75</v>
      </c>
      <c r="H48" s="195">
        <f>'Year 1'!$H$48</f>
        <v>8.1999999999999993</v>
      </c>
      <c r="I48" s="196"/>
      <c r="J48" s="198">
        <f>K48/$D$5</f>
        <v>0.13178571428571428</v>
      </c>
      <c r="K48" s="198">
        <f>H48*G48*D48</f>
        <v>18.45</v>
      </c>
    </row>
    <row r="49" spans="1:11" ht="15.6" x14ac:dyDescent="0.3">
      <c r="A49" s="2"/>
      <c r="B49" s="21" t="s">
        <v>47</v>
      </c>
      <c r="C49" s="208"/>
      <c r="D49" s="209"/>
      <c r="E49" s="209"/>
      <c r="F49" s="209"/>
      <c r="G49" s="209"/>
      <c r="H49" s="210"/>
      <c r="I49" s="23"/>
      <c r="J49" s="23"/>
      <c r="K49" s="211">
        <f>SUM(K45:K48)</f>
        <v>232.9222</v>
      </c>
    </row>
    <row r="50" spans="1:11" ht="15.6" x14ac:dyDescent="0.3">
      <c r="A50" s="2"/>
      <c r="B50" s="176" t="s">
        <v>72</v>
      </c>
      <c r="C50" s="177"/>
      <c r="D50" s="178"/>
      <c r="E50" s="178"/>
      <c r="F50" s="178"/>
      <c r="G50" s="178"/>
      <c r="H50" s="216"/>
      <c r="I50" s="179"/>
      <c r="J50" s="179"/>
      <c r="K50" s="180"/>
    </row>
    <row r="51" spans="1:11" ht="15.6" x14ac:dyDescent="0.3">
      <c r="A51" s="2"/>
      <c r="B51" s="181" t="s">
        <v>73</v>
      </c>
      <c r="C51" s="225"/>
      <c r="D51" s="226">
        <v>11</v>
      </c>
      <c r="E51" s="193" t="s">
        <v>53</v>
      </c>
      <c r="F51" s="224">
        <f>IF(D51=0,0,$D$11/100*'Year 1'!$C51/$D$5)</f>
        <v>1.4285714285714285E-2</v>
      </c>
      <c r="G51" s="213">
        <f>F51*$D$5</f>
        <v>2</v>
      </c>
      <c r="H51" s="186">
        <f>'Year 1'!$H$51</f>
        <v>6.33</v>
      </c>
      <c r="I51" s="187"/>
      <c r="J51" s="188">
        <f>K51/$D$5</f>
        <v>0.99471428571428566</v>
      </c>
      <c r="K51" s="189">
        <f>H51*G51*D51</f>
        <v>139.26</v>
      </c>
    </row>
    <row r="52" spans="1:11" ht="15.6" x14ac:dyDescent="0.3">
      <c r="A52" s="2"/>
      <c r="B52" s="219" t="s">
        <v>74</v>
      </c>
      <c r="C52" s="227"/>
      <c r="D52" s="228">
        <v>2</v>
      </c>
      <c r="E52" s="193" t="s">
        <v>56</v>
      </c>
      <c r="F52" s="308">
        <v>0.18</v>
      </c>
      <c r="G52" s="214">
        <f>F52*$D$5</f>
        <v>25.2</v>
      </c>
      <c r="H52" s="195">
        <f>'Year 1'!$H$52</f>
        <v>2.2000000000000002</v>
      </c>
      <c r="I52" s="196"/>
      <c r="J52" s="197">
        <f>K52/$D$5</f>
        <v>0.79200000000000004</v>
      </c>
      <c r="K52" s="198">
        <f>H52*G52*D52</f>
        <v>110.88000000000001</v>
      </c>
    </row>
    <row r="53" spans="1:11" ht="15.6" x14ac:dyDescent="0.3">
      <c r="A53" s="2"/>
      <c r="B53" s="221" t="s">
        <v>65</v>
      </c>
      <c r="C53" s="229"/>
      <c r="D53" s="230">
        <v>0</v>
      </c>
      <c r="E53" s="193" t="s">
        <v>53</v>
      </c>
      <c r="F53" s="224">
        <f>IF(D53=0,0,$D$11/100*'Year 1'!$C53/$D$5)</f>
        <v>0</v>
      </c>
      <c r="G53" s="215">
        <f>F53*$D$5</f>
        <v>0</v>
      </c>
      <c r="H53" s="204">
        <f>'Year 1'!$H$53</f>
        <v>0</v>
      </c>
      <c r="I53" s="205"/>
      <c r="J53" s="206">
        <f>K53/$D$5</f>
        <v>0</v>
      </c>
      <c r="K53" s="207">
        <f>H53*G53*D53</f>
        <v>0</v>
      </c>
    </row>
    <row r="54" spans="1:11" ht="15.6" x14ac:dyDescent="0.3">
      <c r="A54" s="2"/>
      <c r="B54" s="21" t="s">
        <v>47</v>
      </c>
      <c r="C54" s="208"/>
      <c r="D54" s="209"/>
      <c r="E54" s="209"/>
      <c r="F54" s="209"/>
      <c r="G54" s="209"/>
      <c r="H54" s="217"/>
      <c r="I54" s="23"/>
      <c r="J54" s="23"/>
      <c r="K54" s="211">
        <f>SUM(K51:K53)</f>
        <v>250.14</v>
      </c>
    </row>
    <row r="55" spans="1:11" ht="15.6" x14ac:dyDescent="0.3">
      <c r="A55" s="2"/>
      <c r="B55" s="176" t="s">
        <v>65</v>
      </c>
      <c r="C55" s="177"/>
      <c r="D55" s="178"/>
      <c r="E55" s="178"/>
      <c r="F55" s="178"/>
      <c r="G55" s="178"/>
      <c r="H55" s="216"/>
      <c r="I55" s="179"/>
      <c r="J55" s="179"/>
      <c r="K55" s="180"/>
    </row>
    <row r="56" spans="1:11" ht="15.6" x14ac:dyDescent="0.3">
      <c r="A56" s="2"/>
      <c r="B56" s="181" t="s">
        <v>75</v>
      </c>
      <c r="C56" s="182"/>
      <c r="D56" s="185" t="s">
        <v>44</v>
      </c>
      <c r="E56" s="184" t="s">
        <v>76</v>
      </c>
      <c r="F56" s="185" t="s">
        <v>44</v>
      </c>
      <c r="G56" s="309">
        <v>8.0500000000000007</v>
      </c>
      <c r="H56" s="186">
        <f>'Year 1'!$H$56</f>
        <v>30</v>
      </c>
      <c r="I56" s="187"/>
      <c r="J56" s="188">
        <f>K56/$D$5</f>
        <v>1.7250000000000003</v>
      </c>
      <c r="K56" s="189">
        <f>H56*G56</f>
        <v>241.50000000000003</v>
      </c>
    </row>
    <row r="57" spans="1:11" ht="15.6" x14ac:dyDescent="0.3">
      <c r="A57" s="2"/>
      <c r="B57" s="221" t="s">
        <v>77</v>
      </c>
      <c r="C57" s="200"/>
      <c r="D57" s="203" t="s">
        <v>44</v>
      </c>
      <c r="E57" s="202" t="s">
        <v>43</v>
      </c>
      <c r="F57" s="203" t="s">
        <v>44</v>
      </c>
      <c r="G57" s="310">
        <v>0</v>
      </c>
      <c r="H57" s="204">
        <f>'Year 1'!$H$57</f>
        <v>11</v>
      </c>
      <c r="I57" s="205"/>
      <c r="J57" s="206">
        <f>K57/$D$5</f>
        <v>0</v>
      </c>
      <c r="K57" s="207">
        <f>H57*G57</f>
        <v>0</v>
      </c>
    </row>
    <row r="58" spans="1:11" ht="15.6" x14ac:dyDescent="0.3">
      <c r="A58" s="2"/>
      <c r="B58" s="231" t="s">
        <v>78</v>
      </c>
      <c r="C58" s="232"/>
      <c r="D58" s="233"/>
      <c r="E58" s="233"/>
      <c r="F58" s="233"/>
      <c r="G58" s="233"/>
      <c r="H58" s="233"/>
      <c r="I58" s="235"/>
      <c r="J58" s="235">
        <f>SUM(J20:J57)</f>
        <v>22.839370000000006</v>
      </c>
      <c r="K58" s="236">
        <f>K57+K56+K54+K49+K43+K38+K28+K23</f>
        <v>3197.5118000000002</v>
      </c>
    </row>
    <row r="59" spans="1:11" ht="15.6" x14ac:dyDescent="0.3">
      <c r="A59" s="2"/>
      <c r="B59" s="2"/>
      <c r="C59" s="2"/>
      <c r="D59" s="2"/>
      <c r="E59" s="2"/>
      <c r="F59" s="2"/>
      <c r="G59" s="2"/>
      <c r="H59" s="2"/>
      <c r="I59" s="2"/>
      <c r="J59" s="2"/>
      <c r="K59" s="2"/>
    </row>
    <row r="60" spans="1:11" ht="15.6" x14ac:dyDescent="0.3">
      <c r="A60" s="2"/>
      <c r="B60" s="231" t="s">
        <v>79</v>
      </c>
      <c r="C60" s="232"/>
      <c r="D60" s="233"/>
      <c r="E60" s="233"/>
      <c r="F60" s="233"/>
      <c r="G60" s="233"/>
      <c r="H60" s="233"/>
      <c r="I60" s="235"/>
      <c r="J60" s="235"/>
      <c r="K60" s="237"/>
    </row>
    <row r="61" spans="1:11" ht="15.6" x14ac:dyDescent="0.3">
      <c r="A61" s="2"/>
      <c r="B61" s="181" t="s">
        <v>80</v>
      </c>
      <c r="C61" s="182"/>
      <c r="D61" s="183">
        <v>144</v>
      </c>
      <c r="E61" s="238"/>
      <c r="F61" s="238"/>
      <c r="G61" s="238"/>
      <c r="H61" s="238"/>
      <c r="I61" s="187"/>
      <c r="J61" s="187"/>
      <c r="K61" s="239"/>
    </row>
    <row r="62" spans="1:11" ht="15.6" x14ac:dyDescent="0.3">
      <c r="A62" s="2"/>
      <c r="B62" s="190" t="s">
        <v>81</v>
      </c>
      <c r="C62" s="191"/>
      <c r="D62" s="201">
        <v>99</v>
      </c>
      <c r="E62" s="240"/>
      <c r="F62" s="240"/>
      <c r="G62" s="240"/>
      <c r="H62" s="240"/>
      <c r="I62" s="196"/>
      <c r="J62" s="196"/>
      <c r="K62" s="241"/>
    </row>
    <row r="63" spans="1:11" ht="15.6" x14ac:dyDescent="0.3">
      <c r="A63" s="2"/>
      <c r="B63" s="190" t="s">
        <v>82</v>
      </c>
      <c r="C63" s="191"/>
      <c r="D63" s="194">
        <f>'Price and Yields'!$E$11*'Year 11'!$D$7</f>
        <v>11.200000000000001</v>
      </c>
      <c r="E63" s="240" t="s">
        <v>83</v>
      </c>
      <c r="F63" s="240"/>
      <c r="G63" s="240"/>
      <c r="H63" s="240"/>
      <c r="I63" s="196"/>
      <c r="J63" s="196"/>
      <c r="K63" s="241"/>
    </row>
    <row r="64" spans="1:11" ht="15.6" x14ac:dyDescent="0.3">
      <c r="A64" s="2"/>
      <c r="B64" s="190" t="s">
        <v>84</v>
      </c>
      <c r="C64" s="191"/>
      <c r="D64" s="194">
        <f>'Price and Yields'!$E$12*'Year 11'!$D$7</f>
        <v>0</v>
      </c>
      <c r="E64" s="240" t="s">
        <v>83</v>
      </c>
      <c r="F64" s="240"/>
      <c r="G64" s="240"/>
      <c r="H64" s="240"/>
      <c r="I64" s="196"/>
      <c r="J64" s="196"/>
      <c r="K64" s="241"/>
    </row>
    <row r="65" spans="1:11" ht="15.6" x14ac:dyDescent="0.3">
      <c r="A65" s="2"/>
      <c r="B65" s="190" t="s">
        <v>85</v>
      </c>
      <c r="C65" s="191"/>
      <c r="D65" s="194">
        <f>'Price and Yields'!$E$13*'Year 11'!$D$7</f>
        <v>2.8000000000000003</v>
      </c>
      <c r="E65" s="240" t="s">
        <v>83</v>
      </c>
      <c r="F65" s="240"/>
      <c r="G65" s="240"/>
      <c r="H65" s="240"/>
      <c r="I65" s="196"/>
      <c r="J65" s="196"/>
      <c r="K65" s="241"/>
    </row>
    <row r="66" spans="1:11" ht="15.6" x14ac:dyDescent="0.3">
      <c r="A66" s="2"/>
      <c r="B66" s="199" t="s">
        <v>86</v>
      </c>
      <c r="C66" s="200"/>
      <c r="D66" s="203">
        <f>'Price and Yields'!E14*'Year 11'!D7</f>
        <v>0</v>
      </c>
      <c r="E66" s="242" t="s">
        <v>83</v>
      </c>
      <c r="F66" s="242"/>
      <c r="G66" s="242"/>
      <c r="H66" s="242"/>
      <c r="I66" s="205"/>
      <c r="J66" s="205"/>
      <c r="K66" s="243"/>
    </row>
    <row r="67" spans="1:11" ht="15.6" x14ac:dyDescent="0.3">
      <c r="A67" s="2"/>
      <c r="B67" s="176"/>
      <c r="C67" s="177"/>
      <c r="D67" s="244"/>
      <c r="E67" s="178"/>
      <c r="F67" s="178"/>
      <c r="G67" s="178"/>
      <c r="H67" s="178"/>
      <c r="I67" s="179"/>
      <c r="J67" s="179"/>
      <c r="K67" s="180"/>
    </row>
    <row r="68" spans="1:11" ht="31.2" x14ac:dyDescent="0.3">
      <c r="A68" s="11"/>
      <c r="B68" s="231" t="s">
        <v>87</v>
      </c>
      <c r="C68" s="14"/>
      <c r="D68" s="173" t="s">
        <v>88</v>
      </c>
      <c r="E68" s="173" t="s">
        <v>89</v>
      </c>
      <c r="F68" s="173" t="s">
        <v>28</v>
      </c>
      <c r="G68" s="173" t="s">
        <v>90</v>
      </c>
      <c r="H68" s="173"/>
      <c r="I68" s="174" t="s">
        <v>29</v>
      </c>
      <c r="J68" s="174" t="s">
        <v>30</v>
      </c>
      <c r="K68" s="175" t="s">
        <v>31</v>
      </c>
    </row>
    <row r="69" spans="1:11" ht="15.6" x14ac:dyDescent="0.3">
      <c r="A69" s="2"/>
      <c r="B69" s="181" t="s">
        <v>91</v>
      </c>
      <c r="C69" s="182"/>
      <c r="D69" s="245">
        <v>60</v>
      </c>
      <c r="E69" s="246">
        <v>6</v>
      </c>
      <c r="F69" s="247">
        <f>($D$63+$D$64+$D$65+$D$66)*$D$5</f>
        <v>1960.0000000000002</v>
      </c>
      <c r="G69" s="248">
        <f>'Farm Parameters'!$D$10</f>
        <v>11</v>
      </c>
      <c r="H69" s="238"/>
      <c r="I69" s="188">
        <f>IF(ISERROR(J69/($D$63+$D$64+$D$65)),0,J69/($D$63+$D$64+$D$65))</f>
        <v>1.1000000000000001</v>
      </c>
      <c r="J69" s="189">
        <f>K69/$D$5</f>
        <v>15.400000000000004</v>
      </c>
      <c r="K69" s="249">
        <f>G69*E69*F69/D69</f>
        <v>2156.0000000000005</v>
      </c>
    </row>
    <row r="70" spans="1:11" ht="15.6" x14ac:dyDescent="0.3">
      <c r="A70" s="2"/>
      <c r="B70" s="190" t="s">
        <v>92</v>
      </c>
      <c r="C70" s="191"/>
      <c r="D70" s="250">
        <v>90</v>
      </c>
      <c r="E70" s="251">
        <v>6</v>
      </c>
      <c r="F70" s="252">
        <f>($D$63+$D$64)*$D$5</f>
        <v>1568.0000000000002</v>
      </c>
      <c r="G70" s="253">
        <f>'Farm Parameters'!$D$10</f>
        <v>11</v>
      </c>
      <c r="H70" s="240"/>
      <c r="I70" s="197">
        <f>IF(ISERROR(J70/($D$63+$D$64)),0,J70/($D$63+$D$64))</f>
        <v>0.73333333333333339</v>
      </c>
      <c r="J70" s="198">
        <f>K70/$D$5</f>
        <v>8.2133333333333347</v>
      </c>
      <c r="K70" s="255">
        <f>G70*E70*F70/D70</f>
        <v>1149.8666666666668</v>
      </c>
    </row>
    <row r="71" spans="1:11" ht="15.6" x14ac:dyDescent="0.3">
      <c r="A71" s="2"/>
      <c r="B71" s="190" t="s">
        <v>93</v>
      </c>
      <c r="C71" s="191"/>
      <c r="D71" s="256">
        <v>90</v>
      </c>
      <c r="E71" s="257">
        <v>6</v>
      </c>
      <c r="F71" s="258">
        <f>($D$65)*'Price and Yields'!$E$8/'Price and Yields'!$E$6*$D$5</f>
        <v>225.4</v>
      </c>
      <c r="G71" s="259">
        <f>'Farm Parameters'!$D$10</f>
        <v>11</v>
      </c>
      <c r="H71" s="240"/>
      <c r="I71" s="197">
        <f>IF(ISERROR(J71/($D$65)),0,J71/($D$65))</f>
        <v>0.42166666666666658</v>
      </c>
      <c r="J71" s="198">
        <f>K71/$D$5</f>
        <v>1.1806666666666665</v>
      </c>
      <c r="K71" s="255">
        <f>G71*E71*F71/D71</f>
        <v>165.29333333333332</v>
      </c>
    </row>
    <row r="72" spans="1:11" ht="15.6" x14ac:dyDescent="0.3">
      <c r="A72" s="2"/>
      <c r="B72" s="190" t="s">
        <v>94</v>
      </c>
      <c r="C72" s="191"/>
      <c r="D72" s="240"/>
      <c r="E72" s="240"/>
      <c r="F72" s="240"/>
      <c r="G72" s="240"/>
      <c r="H72" s="240"/>
      <c r="I72" s="254">
        <f>'Year 1'!$I$72</f>
        <v>1.35E-2</v>
      </c>
      <c r="J72" s="255">
        <f t="shared" ref="J72:J77" si="3">K72/$D$5</f>
        <v>0.189</v>
      </c>
      <c r="K72" s="255">
        <f t="shared" ref="K72:K77" si="4">I72*$D$7*$D$5</f>
        <v>26.46</v>
      </c>
    </row>
    <row r="73" spans="1:11" ht="15.6" x14ac:dyDescent="0.3">
      <c r="A73" s="2"/>
      <c r="B73" s="190" t="s">
        <v>95</v>
      </c>
      <c r="C73" s="191"/>
      <c r="D73" s="240"/>
      <c r="E73" s="240"/>
      <c r="F73" s="240"/>
      <c r="G73" s="240"/>
      <c r="H73" s="240"/>
      <c r="I73" s="254">
        <f>'Year 1'!$I$73</f>
        <v>0</v>
      </c>
      <c r="J73" s="255">
        <f t="shared" si="3"/>
        <v>0</v>
      </c>
      <c r="K73" s="255">
        <f t="shared" si="4"/>
        <v>0</v>
      </c>
    </row>
    <row r="74" spans="1:11" ht="15.6" x14ac:dyDescent="0.3">
      <c r="A74" s="2"/>
      <c r="B74" s="190" t="s">
        <v>96</v>
      </c>
      <c r="C74" s="191"/>
      <c r="D74" s="240"/>
      <c r="E74" s="240"/>
      <c r="F74" s="240"/>
      <c r="G74" s="240"/>
      <c r="H74" s="240"/>
      <c r="I74" s="254">
        <f>'Year 1'!$I$74</f>
        <v>1.65</v>
      </c>
      <c r="J74" s="255">
        <f>I74*(D63+D64)</f>
        <v>18.48</v>
      </c>
      <c r="K74" s="255">
        <f>J74*$D$5</f>
        <v>2587.2000000000003</v>
      </c>
    </row>
    <row r="75" spans="1:11" ht="15.6" x14ac:dyDescent="0.3">
      <c r="A75" s="2"/>
      <c r="B75" s="190" t="s">
        <v>97</v>
      </c>
      <c r="C75" s="191"/>
      <c r="D75" s="240"/>
      <c r="E75" s="240"/>
      <c r="F75" s="240"/>
      <c r="G75" s="240"/>
      <c r="H75" s="240"/>
      <c r="I75" s="254">
        <f>'Year 1'!$I$75</f>
        <v>1.38</v>
      </c>
      <c r="J75" s="255">
        <f>I75*($D$65)*'Price and Yields'!$E$8/'Price and Yields'!$E$6</f>
        <v>2.2218</v>
      </c>
      <c r="K75" s="255">
        <f>J75*$D$5</f>
        <v>311.05200000000002</v>
      </c>
    </row>
    <row r="76" spans="1:11" ht="15.6" x14ac:dyDescent="0.3">
      <c r="A76" s="2"/>
      <c r="B76" s="190" t="s">
        <v>98</v>
      </c>
      <c r="C76" s="191"/>
      <c r="D76" s="240"/>
      <c r="E76" s="240"/>
      <c r="F76" s="240"/>
      <c r="G76" s="240"/>
      <c r="H76" s="240"/>
      <c r="I76" s="254">
        <f>'Year 1'!$I$76</f>
        <v>0.02</v>
      </c>
      <c r="J76" s="255">
        <f t="shared" si="3"/>
        <v>0.28000000000000003</v>
      </c>
      <c r="K76" s="255">
        <f t="shared" si="4"/>
        <v>39.200000000000003</v>
      </c>
    </row>
    <row r="77" spans="1:11" ht="15.6" x14ac:dyDescent="0.3">
      <c r="A77" s="2"/>
      <c r="B77" s="190" t="s">
        <v>99</v>
      </c>
      <c r="C77" s="191"/>
      <c r="D77" s="240"/>
      <c r="E77" s="240"/>
      <c r="F77" s="240"/>
      <c r="G77" s="240"/>
      <c r="H77" s="240"/>
      <c r="I77" s="254">
        <f>'Year 1'!$I$77</f>
        <v>0.05</v>
      </c>
      <c r="J77" s="255">
        <f t="shared" si="3"/>
        <v>0.70000000000000007</v>
      </c>
      <c r="K77" s="255">
        <f t="shared" si="4"/>
        <v>98.000000000000014</v>
      </c>
    </row>
    <row r="78" spans="1:11" ht="15.6" x14ac:dyDescent="0.3">
      <c r="A78" s="2"/>
      <c r="B78" s="190" t="s">
        <v>100</v>
      </c>
      <c r="C78" s="19">
        <v>0.125</v>
      </c>
      <c r="D78" s="240"/>
      <c r="E78" s="240"/>
      <c r="F78" s="240"/>
      <c r="G78" s="240"/>
      <c r="H78" s="240"/>
      <c r="I78" s="197">
        <f>C78*'Price and Yields'!$C$16*'Price and Yields'!$E$8</f>
        <v>1.7868750000000002</v>
      </c>
      <c r="J78" s="198">
        <f>I78*(D63+D64+D65)</f>
        <v>25.016250000000007</v>
      </c>
      <c r="K78" s="255">
        <f>J78*D5</f>
        <v>3502.275000000001</v>
      </c>
    </row>
    <row r="79" spans="1:11" ht="15.6" x14ac:dyDescent="0.3">
      <c r="A79" s="2"/>
      <c r="B79" s="199" t="s">
        <v>101</v>
      </c>
      <c r="C79" s="6">
        <v>0.31</v>
      </c>
      <c r="D79" s="242"/>
      <c r="E79" s="242"/>
      <c r="F79" s="242"/>
      <c r="G79" s="242"/>
      <c r="H79" s="242"/>
      <c r="I79" s="206">
        <f>C79</f>
        <v>0.31</v>
      </c>
      <c r="J79" s="207">
        <f>I79*(D63+D64)+I79*(D65*'Price and Yields'!$E$8/'Price and Yields'!$E$6)</f>
        <v>3.9711000000000003</v>
      </c>
      <c r="K79" s="260">
        <f>J79*D5</f>
        <v>555.95400000000006</v>
      </c>
    </row>
    <row r="80" spans="1:11" ht="15.6" x14ac:dyDescent="0.3">
      <c r="A80" s="11"/>
      <c r="B80" s="261" t="s">
        <v>102</v>
      </c>
      <c r="C80" s="262"/>
      <c r="D80" s="263" t="s">
        <v>103</v>
      </c>
      <c r="E80" s="263"/>
      <c r="F80" s="263"/>
      <c r="G80" s="263"/>
      <c r="H80" s="263"/>
      <c r="I80" s="264"/>
      <c r="J80" s="264"/>
      <c r="K80" s="265"/>
    </row>
    <row r="81" spans="1:11" ht="15.6" x14ac:dyDescent="0.3">
      <c r="A81" s="2"/>
      <c r="B81" s="181" t="s">
        <v>104</v>
      </c>
      <c r="C81" s="182"/>
      <c r="D81" s="266">
        <v>145</v>
      </c>
      <c r="E81" s="238"/>
      <c r="F81" s="238"/>
      <c r="G81" s="238"/>
      <c r="H81" s="238"/>
      <c r="I81" s="188">
        <f>D81/$D$61</f>
        <v>1.0069444444444444</v>
      </c>
      <c r="J81" s="189">
        <f>I81*($D$63)</f>
        <v>11.277777777777779</v>
      </c>
      <c r="K81" s="249">
        <f>J81*$D$5</f>
        <v>1578.8888888888889</v>
      </c>
    </row>
    <row r="82" spans="1:11" ht="15.6" x14ac:dyDescent="0.3">
      <c r="A82" s="2"/>
      <c r="B82" s="190" t="s">
        <v>105</v>
      </c>
      <c r="C82" s="191"/>
      <c r="D82" s="267">
        <v>145</v>
      </c>
      <c r="E82" s="240"/>
      <c r="F82" s="240"/>
      <c r="G82" s="240"/>
      <c r="H82" s="240"/>
      <c r="I82" s="197">
        <f>D82/D61</f>
        <v>1.0069444444444444</v>
      </c>
      <c r="J82" s="198">
        <f>I82*($D$64)</f>
        <v>0</v>
      </c>
      <c r="K82" s="255">
        <f>J82*$D$5</f>
        <v>0</v>
      </c>
    </row>
    <row r="83" spans="1:11" ht="15.6" x14ac:dyDescent="0.3">
      <c r="A83" s="2"/>
      <c r="B83" s="199" t="s">
        <v>106</v>
      </c>
      <c r="C83" s="200"/>
      <c r="D83" s="268">
        <v>145</v>
      </c>
      <c r="E83" s="242"/>
      <c r="F83" s="242"/>
      <c r="G83" s="242"/>
      <c r="H83" s="242"/>
      <c r="I83" s="206">
        <f>D83/$D$62</f>
        <v>1.4646464646464648</v>
      </c>
      <c r="J83" s="207">
        <f>I83*($D$65)*'Price and Yields'!$E$8/'Price and Yields'!$E$6</f>
        <v>2.3580808080808087</v>
      </c>
      <c r="K83" s="260">
        <f>J83*$D$5</f>
        <v>330.13131313131322</v>
      </c>
    </row>
    <row r="84" spans="1:11" ht="15.6" x14ac:dyDescent="0.3">
      <c r="A84" s="2"/>
      <c r="B84" s="231" t="s">
        <v>107</v>
      </c>
      <c r="C84" s="232"/>
      <c r="D84" s="233"/>
      <c r="E84" s="233"/>
      <c r="F84" s="233"/>
      <c r="G84" s="233"/>
      <c r="H84" s="233"/>
      <c r="I84" s="235">
        <f>SUM(I69:I83)</f>
        <v>10.943910353535353</v>
      </c>
      <c r="J84" s="235">
        <f>SUM(J69:J83)</f>
        <v>89.28800858585862</v>
      </c>
      <c r="K84" s="237">
        <f>SUM(K69:K83)</f>
        <v>12500.321202020203</v>
      </c>
    </row>
    <row r="85" spans="1:11" ht="15.6" x14ac:dyDescent="0.3">
      <c r="A85" s="2"/>
      <c r="B85" s="2"/>
      <c r="C85" s="162"/>
      <c r="D85" s="162"/>
      <c r="E85" s="162"/>
      <c r="F85" s="162"/>
      <c r="G85" s="162"/>
      <c r="H85" s="162"/>
      <c r="I85" s="164"/>
      <c r="J85" s="164"/>
      <c r="K85" s="164"/>
    </row>
    <row r="86" spans="1:11" ht="15.6" x14ac:dyDescent="0.3">
      <c r="A86" s="2"/>
      <c r="B86" s="231" t="s">
        <v>108</v>
      </c>
      <c r="C86" s="232"/>
      <c r="D86" s="233"/>
      <c r="E86" s="233"/>
      <c r="F86" s="233"/>
      <c r="G86" s="233"/>
      <c r="H86" s="233"/>
      <c r="I86" s="235"/>
      <c r="J86" s="235">
        <f>J84+J58</f>
        <v>112.12737858585862</v>
      </c>
      <c r="K86" s="237">
        <f>K84+K58</f>
        <v>15697.833002020203</v>
      </c>
    </row>
    <row r="87" spans="1:11" ht="15.6" x14ac:dyDescent="0.3">
      <c r="A87" s="2"/>
      <c r="B87" s="269" t="s">
        <v>109</v>
      </c>
      <c r="C87" s="270"/>
      <c r="D87" s="234"/>
      <c r="E87" s="234"/>
      <c r="F87" s="234"/>
      <c r="G87" s="234"/>
      <c r="H87" s="234"/>
      <c r="I87" s="271"/>
      <c r="J87" s="271">
        <f>J14-J86</f>
        <v>88.002621414141402</v>
      </c>
      <c r="K87" s="272">
        <f>K14-K86</f>
        <v>12320.366997979801</v>
      </c>
    </row>
    <row r="88" spans="1:11" ht="15.6" x14ac:dyDescent="0.3">
      <c r="A88" s="2"/>
      <c r="B88" s="2"/>
      <c r="C88" s="162"/>
      <c r="D88" s="273"/>
      <c r="E88" s="273"/>
      <c r="F88" s="273"/>
      <c r="G88" s="273"/>
      <c r="H88" s="273"/>
      <c r="I88" s="164"/>
      <c r="J88" s="164"/>
      <c r="K88" s="164"/>
    </row>
    <row r="89" spans="1:11" ht="15.6" x14ac:dyDescent="0.3">
      <c r="A89" s="2"/>
      <c r="B89" s="2" t="s">
        <v>110</v>
      </c>
      <c r="C89" s="162"/>
      <c r="D89" s="273"/>
      <c r="E89" s="273"/>
      <c r="F89" s="273"/>
      <c r="G89" s="273"/>
      <c r="H89" s="273"/>
      <c r="I89" s="164"/>
      <c r="J89" s="164"/>
      <c r="K89" s="164"/>
    </row>
    <row r="90" spans="1:11" ht="15.6" x14ac:dyDescent="0.3">
      <c r="A90" s="2"/>
      <c r="B90" s="2" t="s">
        <v>111</v>
      </c>
      <c r="C90" s="162"/>
      <c r="D90" s="162"/>
      <c r="E90" s="162"/>
      <c r="F90" s="162"/>
      <c r="G90" s="162"/>
      <c r="H90" s="162"/>
      <c r="I90" s="164"/>
      <c r="J90" s="164"/>
      <c r="K90" s="164"/>
    </row>
  </sheetData>
  <sheetProtection password="8D83" sheet="1" objects="1" scenarios="1"/>
  <phoneticPr fontId="5"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GridLines="0" showRowColHeaders="0" zoomScale="75" workbookViewId="0">
      <selection activeCell="Y29" sqref="Y29"/>
    </sheetView>
  </sheetViews>
  <sheetFormatPr defaultColWidth="10.33203125" defaultRowHeight="15.6" x14ac:dyDescent="0.3"/>
  <cols>
    <col min="1" max="1" width="51.6640625" style="29" customWidth="1"/>
    <col min="2" max="2" width="18.44140625" style="30" customWidth="1"/>
    <col min="3" max="16384" width="10.33203125" style="29"/>
  </cols>
  <sheetData>
    <row r="1" spans="1:2" ht="24.6" x14ac:dyDescent="0.4">
      <c r="A1" s="311" t="s">
        <v>123</v>
      </c>
    </row>
    <row r="3" spans="1:2" x14ac:dyDescent="0.3">
      <c r="B3" s="312" t="s">
        <v>124</v>
      </c>
    </row>
    <row r="4" spans="1:2" ht="6" customHeight="1" x14ac:dyDescent="0.3"/>
    <row r="5" spans="1:2" x14ac:dyDescent="0.3">
      <c r="A5" s="29" t="s">
        <v>125</v>
      </c>
      <c r="B5" s="313">
        <v>2000</v>
      </c>
    </row>
    <row r="6" spans="1:2" ht="6" customHeight="1" x14ac:dyDescent="0.3">
      <c r="B6" s="314"/>
    </row>
    <row r="7" spans="1:2" x14ac:dyDescent="0.3">
      <c r="A7" s="29" t="s">
        <v>126</v>
      </c>
      <c r="B7" s="313">
        <v>1250</v>
      </c>
    </row>
    <row r="8" spans="1:2" ht="6" customHeight="1" x14ac:dyDescent="0.3">
      <c r="B8" s="314"/>
    </row>
    <row r="9" spans="1:2" x14ac:dyDescent="0.3">
      <c r="A9" s="29" t="s">
        <v>127</v>
      </c>
      <c r="B9" s="313">
        <v>1500</v>
      </c>
    </row>
    <row r="10" spans="1:2" x14ac:dyDescent="0.3">
      <c r="B10" s="314"/>
    </row>
    <row r="11" spans="1:2" x14ac:dyDescent="0.3">
      <c r="A11" s="29" t="s">
        <v>128</v>
      </c>
      <c r="B11" s="314"/>
    </row>
    <row r="12" spans="1:2" x14ac:dyDescent="0.3">
      <c r="A12" s="29" t="s">
        <v>129</v>
      </c>
      <c r="B12" s="313">
        <v>1500</v>
      </c>
    </row>
    <row r="13" spans="1:2" x14ac:dyDescent="0.3">
      <c r="A13" s="29" t="s">
        <v>130</v>
      </c>
      <c r="B13" s="313">
        <v>700</v>
      </c>
    </row>
    <row r="14" spans="1:2" x14ac:dyDescent="0.3">
      <c r="A14" s="29" t="s">
        <v>131</v>
      </c>
      <c r="B14" s="313">
        <v>1300</v>
      </c>
    </row>
    <row r="15" spans="1:2" x14ac:dyDescent="0.3">
      <c r="A15" s="29" t="s">
        <v>132</v>
      </c>
      <c r="B15" s="313">
        <v>3000</v>
      </c>
    </row>
    <row r="16" spans="1:2" x14ac:dyDescent="0.3">
      <c r="A16" s="29" t="s">
        <v>133</v>
      </c>
      <c r="B16" s="313">
        <v>800</v>
      </c>
    </row>
    <row r="17" spans="1:2" x14ac:dyDescent="0.3">
      <c r="A17" s="29" t="s">
        <v>134</v>
      </c>
      <c r="B17" s="313">
        <v>1000</v>
      </c>
    </row>
    <row r="18" spans="1:2" x14ac:dyDescent="0.3">
      <c r="A18" s="29" t="s">
        <v>135</v>
      </c>
      <c r="B18" s="315">
        <f>SUM(B12:B17)</f>
        <v>8300</v>
      </c>
    </row>
    <row r="19" spans="1:2" ht="6" customHeight="1" x14ac:dyDescent="0.3">
      <c r="B19" s="314"/>
    </row>
    <row r="20" spans="1:2" x14ac:dyDescent="0.3">
      <c r="A20" s="29" t="s">
        <v>136</v>
      </c>
      <c r="B20" s="313">
        <v>25000</v>
      </c>
    </row>
    <row r="21" spans="1:2" ht="6" customHeight="1" x14ac:dyDescent="0.3">
      <c r="B21" s="316"/>
    </row>
    <row r="22" spans="1:2" x14ac:dyDescent="0.3">
      <c r="A22" s="29" t="s">
        <v>137</v>
      </c>
      <c r="B22" s="315">
        <f>B5+B7+B9+B18+B20</f>
        <v>38050</v>
      </c>
    </row>
  </sheetData>
  <sheetProtection password="8D83" sheet="1" objects="1" scenarios="1"/>
  <phoneticPr fontId="8" type="noConversion"/>
  <printOptions gridLinesSet="0"/>
  <pageMargins left="0.75" right="0.75" top="1" bottom="1" header="0.5" footer="0.5"/>
  <pageSetup paperSize="9" orientation="portrait" horizontalDpi="300" verticalDpi="300" r:id="rId1"/>
  <headerFooter alignWithMargins="0">
    <oddHeader>&amp;A</oddHeader>
    <oddFooter>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71"/>
  <sheetViews>
    <sheetView showGridLines="0" showRowColHeaders="0" zoomScale="75" workbookViewId="0">
      <selection activeCell="Y29" sqref="Y29"/>
    </sheetView>
  </sheetViews>
  <sheetFormatPr defaultColWidth="9.109375" defaultRowHeight="15.6" x14ac:dyDescent="0.3"/>
  <cols>
    <col min="1" max="1" width="38" style="29" customWidth="1"/>
    <col min="2" max="4" width="18.44140625" style="30" customWidth="1"/>
    <col min="5" max="35" width="3.88671875" style="317" customWidth="1"/>
    <col min="36" max="36" width="3" style="317" customWidth="1"/>
    <col min="37" max="37" width="9.109375" style="29"/>
    <col min="38" max="38" width="11.109375" style="30" hidden="1" customWidth="1"/>
    <col min="39" max="68" width="10.33203125" style="30" hidden="1" customWidth="1"/>
    <col min="69" max="16384" width="9.109375" style="29"/>
  </cols>
  <sheetData>
    <row r="1" spans="1:68" ht="24.6" x14ac:dyDescent="0.4">
      <c r="A1" s="311" t="s">
        <v>138</v>
      </c>
    </row>
    <row r="2" spans="1:68" x14ac:dyDescent="0.3">
      <c r="E2" s="318" t="s">
        <v>139</v>
      </c>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row>
    <row r="3" spans="1:68" ht="18.75" customHeight="1" x14ac:dyDescent="0.3">
      <c r="A3" s="320"/>
      <c r="B3" s="75" t="s">
        <v>140</v>
      </c>
      <c r="C3" s="321" t="s">
        <v>141</v>
      </c>
      <c r="D3" s="321" t="s">
        <v>142</v>
      </c>
      <c r="E3" s="322">
        <v>0</v>
      </c>
      <c r="F3" s="322">
        <v>1</v>
      </c>
      <c r="G3" s="322">
        <v>2</v>
      </c>
      <c r="H3" s="322">
        <v>3</v>
      </c>
      <c r="I3" s="322">
        <v>4</v>
      </c>
      <c r="J3" s="322">
        <v>5</v>
      </c>
      <c r="K3" s="322">
        <v>6</v>
      </c>
      <c r="L3" s="322">
        <v>7</v>
      </c>
      <c r="M3" s="322">
        <v>8</v>
      </c>
      <c r="N3" s="322">
        <v>9</v>
      </c>
      <c r="O3" s="322">
        <v>10</v>
      </c>
      <c r="P3" s="322">
        <v>11</v>
      </c>
      <c r="Q3" s="322">
        <v>12</v>
      </c>
      <c r="R3" s="322">
        <v>13</v>
      </c>
      <c r="S3" s="322">
        <v>14</v>
      </c>
      <c r="T3" s="322">
        <v>15</v>
      </c>
      <c r="U3" s="322">
        <v>16</v>
      </c>
      <c r="V3" s="322">
        <v>17</v>
      </c>
      <c r="W3" s="322">
        <v>18</v>
      </c>
      <c r="X3" s="322">
        <v>19</v>
      </c>
      <c r="Y3" s="322">
        <v>20</v>
      </c>
      <c r="Z3" s="322">
        <f t="shared" ref="Z3:AI3" si="0">Y3+1</f>
        <v>21</v>
      </c>
      <c r="AA3" s="322">
        <f t="shared" si="0"/>
        <v>22</v>
      </c>
      <c r="AB3" s="322">
        <f t="shared" si="0"/>
        <v>23</v>
      </c>
      <c r="AC3" s="322">
        <f t="shared" si="0"/>
        <v>24</v>
      </c>
      <c r="AD3" s="322">
        <f t="shared" si="0"/>
        <v>25</v>
      </c>
      <c r="AE3" s="322">
        <f t="shared" si="0"/>
        <v>26</v>
      </c>
      <c r="AF3" s="322">
        <f t="shared" si="0"/>
        <v>27</v>
      </c>
      <c r="AG3" s="322">
        <f t="shared" si="0"/>
        <v>28</v>
      </c>
      <c r="AH3" s="322">
        <f t="shared" si="0"/>
        <v>29</v>
      </c>
      <c r="AI3" s="322">
        <f t="shared" si="0"/>
        <v>30</v>
      </c>
      <c r="AJ3" s="323"/>
      <c r="AL3" s="324">
        <v>0</v>
      </c>
      <c r="AM3" s="325">
        <f t="shared" ref="AM3:BP3" si="1">AL3+1</f>
        <v>1</v>
      </c>
      <c r="AN3" s="325">
        <f t="shared" si="1"/>
        <v>2</v>
      </c>
      <c r="AO3" s="325">
        <f t="shared" si="1"/>
        <v>3</v>
      </c>
      <c r="AP3" s="325">
        <f t="shared" si="1"/>
        <v>4</v>
      </c>
      <c r="AQ3" s="325">
        <f t="shared" si="1"/>
        <v>5</v>
      </c>
      <c r="AR3" s="325">
        <f t="shared" si="1"/>
        <v>6</v>
      </c>
      <c r="AS3" s="325">
        <f t="shared" si="1"/>
        <v>7</v>
      </c>
      <c r="AT3" s="325">
        <f t="shared" si="1"/>
        <v>8</v>
      </c>
      <c r="AU3" s="325">
        <f t="shared" si="1"/>
        <v>9</v>
      </c>
      <c r="AV3" s="325">
        <f t="shared" si="1"/>
        <v>10</v>
      </c>
      <c r="AW3" s="325">
        <f t="shared" si="1"/>
        <v>11</v>
      </c>
      <c r="AX3" s="325">
        <f t="shared" si="1"/>
        <v>12</v>
      </c>
      <c r="AY3" s="325">
        <f t="shared" si="1"/>
        <v>13</v>
      </c>
      <c r="AZ3" s="325">
        <f t="shared" si="1"/>
        <v>14</v>
      </c>
      <c r="BA3" s="325">
        <f t="shared" si="1"/>
        <v>15</v>
      </c>
      <c r="BB3" s="325">
        <f t="shared" si="1"/>
        <v>16</v>
      </c>
      <c r="BC3" s="325">
        <f t="shared" si="1"/>
        <v>17</v>
      </c>
      <c r="BD3" s="325">
        <f t="shared" si="1"/>
        <v>18</v>
      </c>
      <c r="BE3" s="325">
        <f t="shared" si="1"/>
        <v>19</v>
      </c>
      <c r="BF3" s="325">
        <f t="shared" si="1"/>
        <v>20</v>
      </c>
      <c r="BG3" s="325">
        <f t="shared" si="1"/>
        <v>21</v>
      </c>
      <c r="BH3" s="325">
        <f t="shared" si="1"/>
        <v>22</v>
      </c>
      <c r="BI3" s="325">
        <f t="shared" si="1"/>
        <v>23</v>
      </c>
      <c r="BJ3" s="325">
        <f t="shared" si="1"/>
        <v>24</v>
      </c>
      <c r="BK3" s="325">
        <f t="shared" si="1"/>
        <v>25</v>
      </c>
      <c r="BL3" s="325">
        <f t="shared" si="1"/>
        <v>26</v>
      </c>
      <c r="BM3" s="325">
        <f t="shared" si="1"/>
        <v>27</v>
      </c>
      <c r="BN3" s="325">
        <f t="shared" si="1"/>
        <v>28</v>
      </c>
      <c r="BO3" s="325">
        <f t="shared" si="1"/>
        <v>29</v>
      </c>
      <c r="BP3" s="326">
        <f t="shared" si="1"/>
        <v>30</v>
      </c>
    </row>
    <row r="4" spans="1:68" x14ac:dyDescent="0.3">
      <c r="A4" s="51" t="s">
        <v>143</v>
      </c>
      <c r="B4" s="52"/>
      <c r="C4" s="52"/>
      <c r="D4" s="52"/>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28"/>
      <c r="AJ4" s="329"/>
      <c r="AL4" s="330"/>
      <c r="AM4" s="331"/>
      <c r="AN4" s="331"/>
      <c r="AO4" s="331"/>
      <c r="AP4" s="331"/>
      <c r="AQ4" s="331"/>
      <c r="AR4" s="331"/>
      <c r="AS4" s="331"/>
      <c r="AT4" s="331"/>
      <c r="AU4" s="331"/>
      <c r="AV4" s="331"/>
      <c r="AW4" s="331"/>
      <c r="AX4" s="331"/>
      <c r="AY4" s="331"/>
      <c r="AZ4" s="331"/>
      <c r="BA4" s="331"/>
      <c r="BB4" s="331"/>
      <c r="BC4" s="331"/>
      <c r="BD4" s="331"/>
      <c r="BE4" s="331"/>
      <c r="BF4" s="331"/>
      <c r="BG4" s="331"/>
      <c r="BH4" s="331"/>
      <c r="BI4" s="331"/>
      <c r="BJ4" s="331"/>
      <c r="BK4" s="331"/>
      <c r="BL4" s="331"/>
      <c r="BM4" s="331"/>
      <c r="BN4" s="331"/>
      <c r="BO4" s="331"/>
      <c r="BP4" s="332"/>
    </row>
    <row r="5" spans="1:68" ht="15.75" customHeight="1" x14ac:dyDescent="0.3">
      <c r="A5" s="333" t="s">
        <v>144</v>
      </c>
      <c r="B5" s="334">
        <v>63000</v>
      </c>
      <c r="C5" s="335">
        <v>0.1</v>
      </c>
      <c r="D5" s="336">
        <f t="shared" ref="D5:D10" si="2">C5*B5</f>
        <v>6300</v>
      </c>
      <c r="E5" s="337" t="s">
        <v>145</v>
      </c>
      <c r="F5" s="338"/>
      <c r="G5" s="338"/>
      <c r="H5" s="338" t="s">
        <v>32</v>
      </c>
      <c r="I5" s="338"/>
      <c r="J5" s="338"/>
      <c r="K5" s="338"/>
      <c r="L5" s="338"/>
      <c r="M5" s="338"/>
      <c r="N5" s="338"/>
      <c r="O5" s="338" t="s">
        <v>32</v>
      </c>
      <c r="P5" s="338"/>
      <c r="Q5" s="338"/>
      <c r="R5" s="338" t="s">
        <v>32</v>
      </c>
      <c r="S5" s="338"/>
      <c r="T5" s="338" t="s">
        <v>146</v>
      </c>
      <c r="U5" s="338"/>
      <c r="V5" s="338"/>
      <c r="W5" s="338"/>
      <c r="X5" s="338"/>
      <c r="Y5" s="338"/>
      <c r="Z5" s="338"/>
      <c r="AA5" s="338"/>
      <c r="AB5" s="338" t="s">
        <v>32</v>
      </c>
      <c r="AC5" s="338"/>
      <c r="AD5" s="338"/>
      <c r="AE5" s="338"/>
      <c r="AF5" s="338"/>
      <c r="AG5" s="338"/>
      <c r="AH5" s="338"/>
      <c r="AI5" s="339"/>
      <c r="AJ5" s="329"/>
      <c r="AL5" s="340">
        <f t="shared" ref="AL5:AL10" si="3">IF(E5="p",$B5,IF(E5="r",$B5-$D5,""))</f>
        <v>63000</v>
      </c>
      <c r="AM5" s="341" t="str">
        <f t="shared" ref="AM5:AZ5" si="4">IF(F5="p",$U5,IF(F5="r",$U5-$W5,""))</f>
        <v/>
      </c>
      <c r="AN5" s="341" t="str">
        <f t="shared" si="4"/>
        <v/>
      </c>
      <c r="AO5" s="341" t="str">
        <f t="shared" si="4"/>
        <v/>
      </c>
      <c r="AP5" s="341" t="str">
        <f t="shared" si="4"/>
        <v/>
      </c>
      <c r="AQ5" s="341" t="str">
        <f t="shared" si="4"/>
        <v/>
      </c>
      <c r="AR5" s="341" t="str">
        <f t="shared" si="4"/>
        <v/>
      </c>
      <c r="AS5" s="341" t="str">
        <f t="shared" si="4"/>
        <v/>
      </c>
      <c r="AT5" s="341" t="str">
        <f t="shared" si="4"/>
        <v/>
      </c>
      <c r="AU5" s="341" t="str">
        <f t="shared" si="4"/>
        <v/>
      </c>
      <c r="AV5" s="341" t="str">
        <f t="shared" si="4"/>
        <v/>
      </c>
      <c r="AW5" s="341" t="str">
        <f t="shared" si="4"/>
        <v/>
      </c>
      <c r="AX5" s="341" t="str">
        <f t="shared" si="4"/>
        <v/>
      </c>
      <c r="AY5" s="341" t="str">
        <f t="shared" si="4"/>
        <v/>
      </c>
      <c r="AZ5" s="341" t="str">
        <f t="shared" si="4"/>
        <v/>
      </c>
      <c r="BA5" s="341">
        <f t="shared" ref="BA5:BA10" si="5">IF(T5="p",$B5,IF(T5="r",$B5-$D5,""))</f>
        <v>56700</v>
      </c>
      <c r="BB5" s="341" t="str">
        <f t="shared" ref="BB5:BP5" si="6">IF(U5="p",$U5,IF(U5="r",$U5-$W5,""))</f>
        <v/>
      </c>
      <c r="BC5" s="341" t="str">
        <f t="shared" si="6"/>
        <v/>
      </c>
      <c r="BD5" s="341" t="str">
        <f t="shared" si="6"/>
        <v/>
      </c>
      <c r="BE5" s="341" t="str">
        <f t="shared" si="6"/>
        <v/>
      </c>
      <c r="BF5" s="341" t="str">
        <f t="shared" si="6"/>
        <v/>
      </c>
      <c r="BG5" s="341" t="str">
        <f t="shared" si="6"/>
        <v/>
      </c>
      <c r="BH5" s="341" t="str">
        <f t="shared" si="6"/>
        <v/>
      </c>
      <c r="BI5" s="341" t="str">
        <f t="shared" si="6"/>
        <v/>
      </c>
      <c r="BJ5" s="341" t="str">
        <f t="shared" si="6"/>
        <v/>
      </c>
      <c r="BK5" s="341" t="str">
        <f t="shared" si="6"/>
        <v/>
      </c>
      <c r="BL5" s="341" t="str">
        <f t="shared" si="6"/>
        <v/>
      </c>
      <c r="BM5" s="341" t="str">
        <f t="shared" si="6"/>
        <v/>
      </c>
      <c r="BN5" s="341" t="str">
        <f t="shared" si="6"/>
        <v/>
      </c>
      <c r="BO5" s="341" t="str">
        <f t="shared" si="6"/>
        <v/>
      </c>
      <c r="BP5" s="342" t="str">
        <f t="shared" si="6"/>
        <v/>
      </c>
    </row>
    <row r="6" spans="1:68" ht="15.75" customHeight="1" x14ac:dyDescent="0.3">
      <c r="A6" s="343" t="s">
        <v>147</v>
      </c>
      <c r="B6" s="344">
        <v>25000</v>
      </c>
      <c r="C6" s="345">
        <v>0.1</v>
      </c>
      <c r="D6" s="336">
        <f t="shared" si="2"/>
        <v>2500</v>
      </c>
      <c r="E6" s="346" t="s">
        <v>145</v>
      </c>
      <c r="F6" s="347"/>
      <c r="G6" s="347"/>
      <c r="H6" s="347"/>
      <c r="I6" s="347"/>
      <c r="J6" s="347"/>
      <c r="K6" s="347"/>
      <c r="L6" s="347"/>
      <c r="M6" s="347"/>
      <c r="N6" s="347"/>
      <c r="O6" s="347" t="s">
        <v>32</v>
      </c>
      <c r="P6" s="347"/>
      <c r="Q6" s="347"/>
      <c r="R6" s="347"/>
      <c r="S6" s="347"/>
      <c r="T6" s="347" t="s">
        <v>146</v>
      </c>
      <c r="U6" s="347"/>
      <c r="V6" s="347"/>
      <c r="W6" s="347"/>
      <c r="X6" s="347"/>
      <c r="Y6" s="347"/>
      <c r="Z6" s="347"/>
      <c r="AA6" s="347"/>
      <c r="AB6" s="347"/>
      <c r="AC6" s="347"/>
      <c r="AD6" s="347"/>
      <c r="AE6" s="347"/>
      <c r="AF6" s="347"/>
      <c r="AG6" s="347"/>
      <c r="AH6" s="347"/>
      <c r="AI6" s="348"/>
      <c r="AJ6" s="329"/>
      <c r="AL6" s="349">
        <f t="shared" si="3"/>
        <v>25000</v>
      </c>
      <c r="AM6" s="316" t="str">
        <f t="shared" ref="AM6:AZ10" si="7">IF(F6="p",$B6,IF(F6="r",$B6-$D6,""))</f>
        <v/>
      </c>
      <c r="AN6" s="316" t="str">
        <f t="shared" si="7"/>
        <v/>
      </c>
      <c r="AO6" s="316" t="str">
        <f t="shared" si="7"/>
        <v/>
      </c>
      <c r="AP6" s="316" t="str">
        <f t="shared" si="7"/>
        <v/>
      </c>
      <c r="AQ6" s="316" t="str">
        <f t="shared" si="7"/>
        <v/>
      </c>
      <c r="AR6" s="316" t="str">
        <f t="shared" si="7"/>
        <v/>
      </c>
      <c r="AS6" s="316" t="str">
        <f t="shared" si="7"/>
        <v/>
      </c>
      <c r="AT6" s="316" t="str">
        <f t="shared" si="7"/>
        <v/>
      </c>
      <c r="AU6" s="316" t="str">
        <f t="shared" si="7"/>
        <v/>
      </c>
      <c r="AV6" s="316" t="str">
        <f t="shared" si="7"/>
        <v/>
      </c>
      <c r="AW6" s="316" t="str">
        <f t="shared" si="7"/>
        <v/>
      </c>
      <c r="AX6" s="316" t="str">
        <f t="shared" si="7"/>
        <v/>
      </c>
      <c r="AY6" s="316" t="str">
        <f t="shared" si="7"/>
        <v/>
      </c>
      <c r="AZ6" s="316" t="str">
        <f t="shared" si="7"/>
        <v/>
      </c>
      <c r="BA6" s="316">
        <f t="shared" si="5"/>
        <v>22500</v>
      </c>
      <c r="BB6" s="316" t="str">
        <f t="shared" ref="BB6:BP10" si="8">IF(U6="p",$B6,IF(U6="r",$B6-$D6,""))</f>
        <v/>
      </c>
      <c r="BC6" s="316" t="str">
        <f t="shared" si="8"/>
        <v/>
      </c>
      <c r="BD6" s="316" t="str">
        <f t="shared" si="8"/>
        <v/>
      </c>
      <c r="BE6" s="316" t="str">
        <f t="shared" si="8"/>
        <v/>
      </c>
      <c r="BF6" s="316" t="str">
        <f t="shared" si="8"/>
        <v/>
      </c>
      <c r="BG6" s="316" t="str">
        <f t="shared" si="8"/>
        <v/>
      </c>
      <c r="BH6" s="316" t="str">
        <f t="shared" si="8"/>
        <v/>
      </c>
      <c r="BI6" s="316" t="str">
        <f t="shared" si="8"/>
        <v/>
      </c>
      <c r="BJ6" s="316" t="str">
        <f t="shared" si="8"/>
        <v/>
      </c>
      <c r="BK6" s="316" t="str">
        <f t="shared" si="8"/>
        <v/>
      </c>
      <c r="BL6" s="316" t="str">
        <f t="shared" si="8"/>
        <v/>
      </c>
      <c r="BM6" s="316" t="str">
        <f t="shared" si="8"/>
        <v/>
      </c>
      <c r="BN6" s="316" t="str">
        <f t="shared" si="8"/>
        <v/>
      </c>
      <c r="BO6" s="316" t="str">
        <f t="shared" si="8"/>
        <v/>
      </c>
      <c r="BP6" s="350" t="str">
        <f t="shared" si="8"/>
        <v/>
      </c>
    </row>
    <row r="7" spans="1:68" ht="15.75" customHeight="1" x14ac:dyDescent="0.3">
      <c r="A7" s="343" t="s">
        <v>148</v>
      </c>
      <c r="B7" s="344">
        <v>15000</v>
      </c>
      <c r="C7" s="345">
        <v>0.1</v>
      </c>
      <c r="D7" s="336">
        <f t="shared" si="2"/>
        <v>1500</v>
      </c>
      <c r="E7" s="346"/>
      <c r="F7" s="347" t="s">
        <v>32</v>
      </c>
      <c r="G7" s="347"/>
      <c r="H7" s="347" t="s">
        <v>145</v>
      </c>
      <c r="I7" s="347"/>
      <c r="J7" s="347"/>
      <c r="K7" s="347"/>
      <c r="L7" s="347"/>
      <c r="M7" s="347"/>
      <c r="N7" s="347"/>
      <c r="O7" s="347"/>
      <c r="P7" s="347" t="s">
        <v>32</v>
      </c>
      <c r="Q7" s="347"/>
      <c r="R7" s="347"/>
      <c r="S7" s="347"/>
      <c r="T7" s="347"/>
      <c r="U7" s="347"/>
      <c r="V7" s="347"/>
      <c r="W7" s="347" t="s">
        <v>146</v>
      </c>
      <c r="X7" s="347"/>
      <c r="Y7" s="347"/>
      <c r="Z7" s="347"/>
      <c r="AA7" s="347"/>
      <c r="AB7" s="347"/>
      <c r="AC7" s="347"/>
      <c r="AD7" s="347"/>
      <c r="AE7" s="347"/>
      <c r="AF7" s="347"/>
      <c r="AG7" s="347"/>
      <c r="AH7" s="347"/>
      <c r="AI7" s="348"/>
      <c r="AJ7" s="329"/>
      <c r="AL7" s="349" t="str">
        <f t="shared" si="3"/>
        <v/>
      </c>
      <c r="AM7" s="316" t="str">
        <f t="shared" si="7"/>
        <v/>
      </c>
      <c r="AN7" s="316" t="str">
        <f t="shared" si="7"/>
        <v/>
      </c>
      <c r="AO7" s="316">
        <f t="shared" si="7"/>
        <v>15000</v>
      </c>
      <c r="AP7" s="316" t="str">
        <f t="shared" si="7"/>
        <v/>
      </c>
      <c r="AQ7" s="316" t="str">
        <f t="shared" si="7"/>
        <v/>
      </c>
      <c r="AR7" s="316" t="str">
        <f t="shared" si="7"/>
        <v/>
      </c>
      <c r="AS7" s="316" t="str">
        <f t="shared" si="7"/>
        <v/>
      </c>
      <c r="AT7" s="316" t="str">
        <f t="shared" si="7"/>
        <v/>
      </c>
      <c r="AU7" s="316" t="str">
        <f t="shared" si="7"/>
        <v/>
      </c>
      <c r="AV7" s="316" t="str">
        <f t="shared" si="7"/>
        <v/>
      </c>
      <c r="AW7" s="316" t="str">
        <f t="shared" si="7"/>
        <v/>
      </c>
      <c r="AX7" s="316" t="str">
        <f t="shared" si="7"/>
        <v/>
      </c>
      <c r="AY7" s="316" t="str">
        <f t="shared" si="7"/>
        <v/>
      </c>
      <c r="AZ7" s="316" t="str">
        <f t="shared" si="7"/>
        <v/>
      </c>
      <c r="BA7" s="316" t="str">
        <f t="shared" si="5"/>
        <v/>
      </c>
      <c r="BB7" s="316" t="str">
        <f t="shared" si="8"/>
        <v/>
      </c>
      <c r="BC7" s="316" t="str">
        <f t="shared" si="8"/>
        <v/>
      </c>
      <c r="BD7" s="316">
        <f t="shared" si="8"/>
        <v>13500</v>
      </c>
      <c r="BE7" s="316" t="str">
        <f t="shared" si="8"/>
        <v/>
      </c>
      <c r="BF7" s="316" t="str">
        <f t="shared" si="8"/>
        <v/>
      </c>
      <c r="BG7" s="316" t="str">
        <f t="shared" si="8"/>
        <v/>
      </c>
      <c r="BH7" s="316" t="str">
        <f t="shared" si="8"/>
        <v/>
      </c>
      <c r="BI7" s="316" t="str">
        <f t="shared" si="8"/>
        <v/>
      </c>
      <c r="BJ7" s="316" t="str">
        <f t="shared" si="8"/>
        <v/>
      </c>
      <c r="BK7" s="316" t="str">
        <f t="shared" si="8"/>
        <v/>
      </c>
      <c r="BL7" s="316" t="str">
        <f t="shared" si="8"/>
        <v/>
      </c>
      <c r="BM7" s="316" t="str">
        <f t="shared" si="8"/>
        <v/>
      </c>
      <c r="BN7" s="316" t="str">
        <f t="shared" si="8"/>
        <v/>
      </c>
      <c r="BO7" s="316" t="str">
        <f t="shared" si="8"/>
        <v/>
      </c>
      <c r="BP7" s="350" t="str">
        <f t="shared" si="8"/>
        <v/>
      </c>
    </row>
    <row r="8" spans="1:68" ht="15.75" customHeight="1" x14ac:dyDescent="0.3">
      <c r="A8" s="343" t="s">
        <v>149</v>
      </c>
      <c r="B8" s="344">
        <v>6000</v>
      </c>
      <c r="C8" s="345">
        <v>0.1</v>
      </c>
      <c r="D8" s="336">
        <f t="shared" si="2"/>
        <v>600</v>
      </c>
      <c r="E8" s="346" t="s">
        <v>145</v>
      </c>
      <c r="F8" s="347"/>
      <c r="G8" s="347"/>
      <c r="H8" s="347"/>
      <c r="I8" s="347"/>
      <c r="J8" s="347"/>
      <c r="K8" s="347"/>
      <c r="L8" s="347"/>
      <c r="M8" s="347"/>
      <c r="N8" s="347"/>
      <c r="O8" s="347" t="s">
        <v>32</v>
      </c>
      <c r="P8" s="347"/>
      <c r="Q8" s="347"/>
      <c r="R8" s="347"/>
      <c r="S8" s="347"/>
      <c r="T8" s="347" t="s">
        <v>32</v>
      </c>
      <c r="U8" s="347"/>
      <c r="V8" s="347"/>
      <c r="W8" s="347"/>
      <c r="X8" s="347"/>
      <c r="Y8" s="347"/>
      <c r="Z8" s="347"/>
      <c r="AA8" s="347"/>
      <c r="AB8" s="347"/>
      <c r="AC8" s="347"/>
      <c r="AD8" s="347"/>
      <c r="AE8" s="347"/>
      <c r="AF8" s="347"/>
      <c r="AG8" s="347"/>
      <c r="AH8" s="347"/>
      <c r="AI8" s="348"/>
      <c r="AJ8" s="329"/>
      <c r="AL8" s="349">
        <f t="shared" si="3"/>
        <v>6000</v>
      </c>
      <c r="AM8" s="316" t="str">
        <f t="shared" si="7"/>
        <v/>
      </c>
      <c r="AN8" s="316" t="str">
        <f t="shared" si="7"/>
        <v/>
      </c>
      <c r="AO8" s="316" t="str">
        <f t="shared" si="7"/>
        <v/>
      </c>
      <c r="AP8" s="316" t="str">
        <f t="shared" si="7"/>
        <v/>
      </c>
      <c r="AQ8" s="316" t="str">
        <f t="shared" si="7"/>
        <v/>
      </c>
      <c r="AR8" s="316" t="str">
        <f t="shared" si="7"/>
        <v/>
      </c>
      <c r="AS8" s="316" t="str">
        <f t="shared" si="7"/>
        <v/>
      </c>
      <c r="AT8" s="316" t="str">
        <f t="shared" si="7"/>
        <v/>
      </c>
      <c r="AU8" s="316" t="str">
        <f t="shared" si="7"/>
        <v/>
      </c>
      <c r="AV8" s="316" t="str">
        <f t="shared" si="7"/>
        <v/>
      </c>
      <c r="AW8" s="316" t="str">
        <f t="shared" si="7"/>
        <v/>
      </c>
      <c r="AX8" s="316" t="str">
        <f t="shared" si="7"/>
        <v/>
      </c>
      <c r="AY8" s="316" t="str">
        <f t="shared" si="7"/>
        <v/>
      </c>
      <c r="AZ8" s="316" t="str">
        <f t="shared" si="7"/>
        <v/>
      </c>
      <c r="BA8" s="316" t="str">
        <f t="shared" si="5"/>
        <v/>
      </c>
      <c r="BB8" s="316" t="str">
        <f t="shared" si="8"/>
        <v/>
      </c>
      <c r="BC8" s="316" t="str">
        <f t="shared" si="8"/>
        <v/>
      </c>
      <c r="BD8" s="316" t="str">
        <f t="shared" si="8"/>
        <v/>
      </c>
      <c r="BE8" s="316" t="str">
        <f t="shared" si="8"/>
        <v/>
      </c>
      <c r="BF8" s="316" t="str">
        <f t="shared" si="8"/>
        <v/>
      </c>
      <c r="BG8" s="316" t="str">
        <f t="shared" si="8"/>
        <v/>
      </c>
      <c r="BH8" s="316" t="str">
        <f t="shared" si="8"/>
        <v/>
      </c>
      <c r="BI8" s="316" t="str">
        <f t="shared" si="8"/>
        <v/>
      </c>
      <c r="BJ8" s="316" t="str">
        <f t="shared" si="8"/>
        <v/>
      </c>
      <c r="BK8" s="316" t="str">
        <f t="shared" si="8"/>
        <v/>
      </c>
      <c r="BL8" s="316" t="str">
        <f t="shared" si="8"/>
        <v/>
      </c>
      <c r="BM8" s="316" t="str">
        <f t="shared" si="8"/>
        <v/>
      </c>
      <c r="BN8" s="316" t="str">
        <f t="shared" si="8"/>
        <v/>
      </c>
      <c r="BO8" s="316" t="str">
        <f t="shared" si="8"/>
        <v/>
      </c>
      <c r="BP8" s="350" t="str">
        <f t="shared" si="8"/>
        <v/>
      </c>
    </row>
    <row r="9" spans="1:68" ht="15.75" customHeight="1" x14ac:dyDescent="0.3">
      <c r="A9" s="333" t="s">
        <v>150</v>
      </c>
      <c r="B9" s="344">
        <v>20000</v>
      </c>
      <c r="C9" s="345">
        <v>0.1</v>
      </c>
      <c r="D9" s="336">
        <f t="shared" si="2"/>
        <v>2000</v>
      </c>
      <c r="E9" s="346" t="s">
        <v>32</v>
      </c>
      <c r="F9" s="347"/>
      <c r="G9" s="347" t="s">
        <v>145</v>
      </c>
      <c r="H9" s="347" t="s">
        <v>32</v>
      </c>
      <c r="I9" s="347"/>
      <c r="J9" s="347" t="s">
        <v>32</v>
      </c>
      <c r="K9" s="347"/>
      <c r="L9" s="347"/>
      <c r="M9" s="347"/>
      <c r="N9" s="347"/>
      <c r="O9" s="347" t="s">
        <v>32</v>
      </c>
      <c r="P9" s="347"/>
      <c r="Q9" s="347"/>
      <c r="R9" s="347"/>
      <c r="S9" s="347"/>
      <c r="T9" s="347" t="s">
        <v>32</v>
      </c>
      <c r="U9" s="347"/>
      <c r="V9" s="347" t="s">
        <v>146</v>
      </c>
      <c r="W9" s="347" t="s">
        <v>32</v>
      </c>
      <c r="X9" s="347"/>
      <c r="Y9" s="347"/>
      <c r="Z9" s="347"/>
      <c r="AA9" s="347"/>
      <c r="AB9" s="347"/>
      <c r="AC9" s="347"/>
      <c r="AD9" s="347"/>
      <c r="AE9" s="347"/>
      <c r="AF9" s="347"/>
      <c r="AG9" s="347"/>
      <c r="AH9" s="347"/>
      <c r="AI9" s="348"/>
      <c r="AJ9" s="329"/>
      <c r="AL9" s="349" t="str">
        <f t="shared" si="3"/>
        <v/>
      </c>
      <c r="AM9" s="316" t="str">
        <f t="shared" si="7"/>
        <v/>
      </c>
      <c r="AN9" s="316">
        <f t="shared" si="7"/>
        <v>20000</v>
      </c>
      <c r="AO9" s="316" t="str">
        <f t="shared" si="7"/>
        <v/>
      </c>
      <c r="AP9" s="316" t="str">
        <f t="shared" si="7"/>
        <v/>
      </c>
      <c r="AQ9" s="316" t="str">
        <f t="shared" si="7"/>
        <v/>
      </c>
      <c r="AR9" s="316" t="str">
        <f t="shared" si="7"/>
        <v/>
      </c>
      <c r="AS9" s="316" t="str">
        <f t="shared" si="7"/>
        <v/>
      </c>
      <c r="AT9" s="316" t="str">
        <f t="shared" si="7"/>
        <v/>
      </c>
      <c r="AU9" s="316" t="str">
        <f t="shared" si="7"/>
        <v/>
      </c>
      <c r="AV9" s="316" t="str">
        <f t="shared" si="7"/>
        <v/>
      </c>
      <c r="AW9" s="316" t="str">
        <f t="shared" si="7"/>
        <v/>
      </c>
      <c r="AX9" s="316" t="str">
        <f t="shared" si="7"/>
        <v/>
      </c>
      <c r="AY9" s="316" t="str">
        <f t="shared" si="7"/>
        <v/>
      </c>
      <c r="AZ9" s="316" t="str">
        <f t="shared" si="7"/>
        <v/>
      </c>
      <c r="BA9" s="316" t="str">
        <f t="shared" si="5"/>
        <v/>
      </c>
      <c r="BB9" s="316" t="str">
        <f t="shared" si="8"/>
        <v/>
      </c>
      <c r="BC9" s="316">
        <f t="shared" si="8"/>
        <v>18000</v>
      </c>
      <c r="BD9" s="316" t="str">
        <f t="shared" si="8"/>
        <v/>
      </c>
      <c r="BE9" s="316" t="str">
        <f t="shared" si="8"/>
        <v/>
      </c>
      <c r="BF9" s="316" t="str">
        <f t="shared" si="8"/>
        <v/>
      </c>
      <c r="BG9" s="316" t="str">
        <f t="shared" si="8"/>
        <v/>
      </c>
      <c r="BH9" s="316" t="str">
        <f t="shared" si="8"/>
        <v/>
      </c>
      <c r="BI9" s="316" t="str">
        <f t="shared" si="8"/>
        <v/>
      </c>
      <c r="BJ9" s="316" t="str">
        <f t="shared" si="8"/>
        <v/>
      </c>
      <c r="BK9" s="316" t="str">
        <f t="shared" si="8"/>
        <v/>
      </c>
      <c r="BL9" s="316" t="str">
        <f t="shared" si="8"/>
        <v/>
      </c>
      <c r="BM9" s="316" t="str">
        <f t="shared" si="8"/>
        <v/>
      </c>
      <c r="BN9" s="316" t="str">
        <f t="shared" si="8"/>
        <v/>
      </c>
      <c r="BO9" s="316" t="str">
        <f t="shared" si="8"/>
        <v/>
      </c>
      <c r="BP9" s="350" t="str">
        <f t="shared" si="8"/>
        <v/>
      </c>
    </row>
    <row r="10" spans="1:68" ht="15.75" customHeight="1" x14ac:dyDescent="0.3">
      <c r="A10" s="351" t="s">
        <v>151</v>
      </c>
      <c r="B10" s="352">
        <v>15000</v>
      </c>
      <c r="C10" s="353">
        <v>0.1</v>
      </c>
      <c r="D10" s="354">
        <f t="shared" si="2"/>
        <v>1500</v>
      </c>
      <c r="E10" s="355" t="s">
        <v>145</v>
      </c>
      <c r="F10" s="356"/>
      <c r="G10" s="356"/>
      <c r="H10" s="356"/>
      <c r="I10" s="356"/>
      <c r="J10" s="356" t="s">
        <v>32</v>
      </c>
      <c r="K10" s="356"/>
      <c r="L10" s="356"/>
      <c r="M10" s="356"/>
      <c r="N10" s="356"/>
      <c r="O10" s="356" t="s">
        <v>146</v>
      </c>
      <c r="P10" s="356"/>
      <c r="Q10" s="356"/>
      <c r="R10" s="356"/>
      <c r="S10" s="356"/>
      <c r="T10" s="356" t="s">
        <v>32</v>
      </c>
      <c r="U10" s="356"/>
      <c r="V10" s="356"/>
      <c r="W10" s="356"/>
      <c r="X10" s="356"/>
      <c r="Y10" s="356" t="s">
        <v>146</v>
      </c>
      <c r="Z10" s="356"/>
      <c r="AA10" s="356"/>
      <c r="AB10" s="356"/>
      <c r="AC10" s="356"/>
      <c r="AD10" s="356"/>
      <c r="AE10" s="356"/>
      <c r="AF10" s="356"/>
      <c r="AG10" s="356"/>
      <c r="AH10" s="356"/>
      <c r="AI10" s="357"/>
      <c r="AJ10" s="329"/>
      <c r="AL10" s="358">
        <f t="shared" si="3"/>
        <v>15000</v>
      </c>
      <c r="AM10" s="359" t="str">
        <f t="shared" si="7"/>
        <v/>
      </c>
      <c r="AN10" s="359" t="str">
        <f t="shared" si="7"/>
        <v/>
      </c>
      <c r="AO10" s="359" t="str">
        <f t="shared" si="7"/>
        <v/>
      </c>
      <c r="AP10" s="359" t="str">
        <f t="shared" si="7"/>
        <v/>
      </c>
      <c r="AQ10" s="359" t="str">
        <f t="shared" si="7"/>
        <v/>
      </c>
      <c r="AR10" s="359" t="str">
        <f t="shared" si="7"/>
        <v/>
      </c>
      <c r="AS10" s="359" t="str">
        <f t="shared" si="7"/>
        <v/>
      </c>
      <c r="AT10" s="359" t="str">
        <f t="shared" si="7"/>
        <v/>
      </c>
      <c r="AU10" s="359" t="str">
        <f t="shared" si="7"/>
        <v/>
      </c>
      <c r="AV10" s="359">
        <f t="shared" si="7"/>
        <v>13500</v>
      </c>
      <c r="AW10" s="359" t="str">
        <f t="shared" si="7"/>
        <v/>
      </c>
      <c r="AX10" s="359" t="str">
        <f t="shared" si="7"/>
        <v/>
      </c>
      <c r="AY10" s="359" t="str">
        <f t="shared" si="7"/>
        <v/>
      </c>
      <c r="AZ10" s="359" t="str">
        <f t="shared" si="7"/>
        <v/>
      </c>
      <c r="BA10" s="359" t="str">
        <f t="shared" si="5"/>
        <v/>
      </c>
      <c r="BB10" s="359" t="str">
        <f t="shared" si="8"/>
        <v/>
      </c>
      <c r="BC10" s="359" t="str">
        <f t="shared" si="8"/>
        <v/>
      </c>
      <c r="BD10" s="359" t="str">
        <f t="shared" si="8"/>
        <v/>
      </c>
      <c r="BE10" s="359" t="str">
        <f t="shared" si="8"/>
        <v/>
      </c>
      <c r="BF10" s="359">
        <f t="shared" si="8"/>
        <v>13500</v>
      </c>
      <c r="BG10" s="359" t="str">
        <f t="shared" si="8"/>
        <v/>
      </c>
      <c r="BH10" s="359" t="str">
        <f t="shared" si="8"/>
        <v/>
      </c>
      <c r="BI10" s="359" t="str">
        <f t="shared" si="8"/>
        <v/>
      </c>
      <c r="BJ10" s="359" t="str">
        <f t="shared" si="8"/>
        <v/>
      </c>
      <c r="BK10" s="359" t="str">
        <f t="shared" si="8"/>
        <v/>
      </c>
      <c r="BL10" s="359" t="str">
        <f t="shared" si="8"/>
        <v/>
      </c>
      <c r="BM10" s="359" t="str">
        <f t="shared" si="8"/>
        <v/>
      </c>
      <c r="BN10" s="359" t="str">
        <f t="shared" si="8"/>
        <v/>
      </c>
      <c r="BO10" s="359" t="str">
        <f t="shared" si="8"/>
        <v/>
      </c>
      <c r="BP10" s="360" t="str">
        <f t="shared" si="8"/>
        <v/>
      </c>
    </row>
    <row r="11" spans="1:68" x14ac:dyDescent="0.3">
      <c r="A11" s="361" t="s">
        <v>47</v>
      </c>
      <c r="B11" s="362">
        <f>SUM(B5:B10)</f>
        <v>144000</v>
      </c>
      <c r="C11" s="363"/>
      <c r="D11" s="364">
        <f>SUM(D5:D10)</f>
        <v>14400</v>
      </c>
      <c r="E11" s="329"/>
      <c r="F11" s="329"/>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L11" s="349" t="str">
        <f>IF(E11="p",#REF!,IF(E11="r",#REF!-#REF!,""))</f>
        <v/>
      </c>
      <c r="AM11" s="316" t="str">
        <f>IF(F11="p",#REF!,IF(F11="r",#REF!-#REF!,""))</f>
        <v/>
      </c>
      <c r="AN11" s="316" t="str">
        <f>IF(G11="p",#REF!,IF(G11="r",#REF!-#REF!,""))</f>
        <v/>
      </c>
      <c r="AO11" s="316" t="str">
        <f>IF(H11="p",#REF!,IF(H11="r",#REF!-#REF!,""))</f>
        <v/>
      </c>
      <c r="AP11" s="316" t="str">
        <f>IF(I11="p",#REF!,IF(I11="r",#REF!-#REF!,""))</f>
        <v/>
      </c>
      <c r="AQ11" s="316" t="str">
        <f>IF(J11="p",#REF!,IF(J11="r",#REF!-#REF!,""))</f>
        <v/>
      </c>
      <c r="AR11" s="316" t="str">
        <f>IF(K11="p",#REF!,IF(K11="r",#REF!-#REF!,""))</f>
        <v/>
      </c>
      <c r="AS11" s="316" t="str">
        <f>IF(L11="p",#REF!,IF(L11="r",#REF!-#REF!,""))</f>
        <v/>
      </c>
      <c r="AT11" s="316" t="str">
        <f>IF(M11="p",#REF!,IF(M11="r",#REF!-#REF!,""))</f>
        <v/>
      </c>
      <c r="AU11" s="316" t="str">
        <f>IF(N11="p",#REF!,IF(N11="r",#REF!-#REF!,""))</f>
        <v/>
      </c>
      <c r="AV11" s="316" t="str">
        <f>IF(O11="p",#REF!,IF(O11="r",#REF!-#REF!,""))</f>
        <v/>
      </c>
      <c r="AW11" s="316" t="str">
        <f>IF(P11="p",#REF!,IF(P11="r",#REF!-#REF!,""))</f>
        <v/>
      </c>
      <c r="AX11" s="316" t="str">
        <f>IF(Q11="p",#REF!,IF(Q11="r",#REF!-#REF!,""))</f>
        <v/>
      </c>
      <c r="AY11" s="316" t="str">
        <f>IF(R11="p",#REF!,IF(R11="r",#REF!-#REF!,""))</f>
        <v/>
      </c>
      <c r="AZ11" s="316" t="str">
        <f>IF(S11="p",#REF!,IF(S11="r",#REF!-#REF!,""))</f>
        <v/>
      </c>
      <c r="BA11" s="316" t="str">
        <f>IF(T11="p",#REF!,IF(T11="r",#REF!-#REF!,""))</f>
        <v/>
      </c>
      <c r="BB11" s="316" t="str">
        <f>IF(U11="p",#REF!,IF(U11="r",#REF!-#REF!,""))</f>
        <v/>
      </c>
      <c r="BC11" s="316" t="str">
        <f>IF(V11="p",#REF!,IF(V11="r",#REF!-#REF!,""))</f>
        <v/>
      </c>
      <c r="BD11" s="316" t="str">
        <f>IF(W11="p",#REF!,IF(W11="r",#REF!-#REF!,""))</f>
        <v/>
      </c>
      <c r="BE11" s="316" t="str">
        <f>IF(X11="p",#REF!,IF(X11="r",#REF!-#REF!,""))</f>
        <v/>
      </c>
      <c r="BF11" s="316" t="str">
        <f>IF(Y11="p",#REF!,IF(Y11="r",#REF!-#REF!,""))</f>
        <v/>
      </c>
      <c r="BG11" s="316" t="str">
        <f>IF(Z11="p",#REF!,IF(Z11="r",#REF!-#REF!,""))</f>
        <v/>
      </c>
      <c r="BH11" s="316" t="str">
        <f>IF(AA11="p",#REF!,IF(AA11="r",#REF!-#REF!,""))</f>
        <v/>
      </c>
      <c r="BI11" s="316" t="str">
        <f>IF(AB11="p",#REF!,IF(AB11="r",#REF!-#REF!,""))</f>
        <v/>
      </c>
      <c r="BJ11" s="316" t="str">
        <f>IF(AC11="p",#REF!,IF(AC11="r",#REF!-#REF!,""))</f>
        <v/>
      </c>
      <c r="BK11" s="316" t="str">
        <f>IF(AD11="p",#REF!,IF(AD11="r",#REF!-#REF!,""))</f>
        <v/>
      </c>
      <c r="BL11" s="316" t="str">
        <f>IF(AE11="p",#REF!,IF(AE11="r",#REF!-#REF!,""))</f>
        <v/>
      </c>
      <c r="BM11" s="316" t="str">
        <f>IF(AF11="p",#REF!,IF(AF11="r",#REF!-#REF!,""))</f>
        <v/>
      </c>
      <c r="BN11" s="316" t="str">
        <f>IF(AG11="p",#REF!,IF(AG11="r",#REF!-#REF!,""))</f>
        <v/>
      </c>
      <c r="BO11" s="316" t="str">
        <f>IF(AH11="p",#REF!,IF(AH11="r",#REF!-#REF!,""))</f>
        <v/>
      </c>
      <c r="BP11" s="350" t="str">
        <f>IF(AI11="p",#REF!,IF(AI11="r",#REF!-#REF!,""))</f>
        <v/>
      </c>
    </row>
    <row r="12" spans="1:68" x14ac:dyDescent="0.3">
      <c r="A12" s="365"/>
      <c r="C12" s="366"/>
      <c r="D12" s="31"/>
      <c r="E12" s="329"/>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L12" s="349" t="str">
        <f t="shared" ref="AL12:BP12" si="9">IF(E12="p",$B12,IF(E12="r",$B12-$D12,""))</f>
        <v/>
      </c>
      <c r="AM12" s="316" t="str">
        <f t="shared" si="9"/>
        <v/>
      </c>
      <c r="AN12" s="316" t="str">
        <f t="shared" si="9"/>
        <v/>
      </c>
      <c r="AO12" s="316" t="str">
        <f t="shared" si="9"/>
        <v/>
      </c>
      <c r="AP12" s="316" t="str">
        <f t="shared" si="9"/>
        <v/>
      </c>
      <c r="AQ12" s="316" t="str">
        <f t="shared" si="9"/>
        <v/>
      </c>
      <c r="AR12" s="316" t="str">
        <f t="shared" si="9"/>
        <v/>
      </c>
      <c r="AS12" s="316" t="str">
        <f t="shared" si="9"/>
        <v/>
      </c>
      <c r="AT12" s="316" t="str">
        <f t="shared" si="9"/>
        <v/>
      </c>
      <c r="AU12" s="316" t="str">
        <f t="shared" si="9"/>
        <v/>
      </c>
      <c r="AV12" s="316" t="str">
        <f t="shared" si="9"/>
        <v/>
      </c>
      <c r="AW12" s="316" t="str">
        <f t="shared" si="9"/>
        <v/>
      </c>
      <c r="AX12" s="316" t="str">
        <f t="shared" si="9"/>
        <v/>
      </c>
      <c r="AY12" s="316" t="str">
        <f t="shared" si="9"/>
        <v/>
      </c>
      <c r="AZ12" s="316" t="str">
        <f t="shared" si="9"/>
        <v/>
      </c>
      <c r="BA12" s="316" t="str">
        <f t="shared" si="9"/>
        <v/>
      </c>
      <c r="BB12" s="316" t="str">
        <f t="shared" si="9"/>
        <v/>
      </c>
      <c r="BC12" s="316" t="str">
        <f t="shared" si="9"/>
        <v/>
      </c>
      <c r="BD12" s="316" t="str">
        <f t="shared" si="9"/>
        <v/>
      </c>
      <c r="BE12" s="316" t="str">
        <f t="shared" si="9"/>
        <v/>
      </c>
      <c r="BF12" s="316" t="str">
        <f t="shared" si="9"/>
        <v/>
      </c>
      <c r="BG12" s="316" t="str">
        <f t="shared" si="9"/>
        <v/>
      </c>
      <c r="BH12" s="316" t="str">
        <f t="shared" si="9"/>
        <v/>
      </c>
      <c r="BI12" s="316" t="str">
        <f t="shared" si="9"/>
        <v/>
      </c>
      <c r="BJ12" s="316" t="str">
        <f t="shared" si="9"/>
        <v/>
      </c>
      <c r="BK12" s="316" t="str">
        <f t="shared" si="9"/>
        <v/>
      </c>
      <c r="BL12" s="316" t="str">
        <f t="shared" si="9"/>
        <v/>
      </c>
      <c r="BM12" s="316" t="str">
        <f t="shared" si="9"/>
        <v/>
      </c>
      <c r="BN12" s="316" t="str">
        <f t="shared" si="9"/>
        <v/>
      </c>
      <c r="BO12" s="316" t="str">
        <f t="shared" si="9"/>
        <v/>
      </c>
      <c r="BP12" s="350" t="str">
        <f t="shared" si="9"/>
        <v/>
      </c>
    </row>
    <row r="13" spans="1:68" x14ac:dyDescent="0.3">
      <c r="A13" s="51" t="s">
        <v>152</v>
      </c>
      <c r="B13" s="52"/>
      <c r="C13" s="367"/>
      <c r="D13" s="368"/>
      <c r="E13" s="327"/>
      <c r="F13" s="327"/>
      <c r="G13" s="327"/>
      <c r="H13" s="327"/>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8"/>
      <c r="AJ13" s="329"/>
      <c r="AL13" s="330"/>
      <c r="AM13" s="331"/>
      <c r="AN13" s="331"/>
      <c r="AO13" s="331"/>
      <c r="AP13" s="331"/>
      <c r="AQ13" s="331"/>
      <c r="AR13" s="331"/>
      <c r="AS13" s="331"/>
      <c r="AT13" s="331"/>
      <c r="AU13" s="331"/>
      <c r="AV13" s="331"/>
      <c r="AW13" s="331"/>
      <c r="AX13" s="331"/>
      <c r="AY13" s="331"/>
      <c r="AZ13" s="331"/>
      <c r="BA13" s="331"/>
      <c r="BB13" s="331"/>
      <c r="BC13" s="331"/>
      <c r="BD13" s="331"/>
      <c r="BE13" s="331"/>
      <c r="BF13" s="331"/>
      <c r="BG13" s="331"/>
      <c r="BH13" s="331"/>
      <c r="BI13" s="331"/>
      <c r="BJ13" s="331"/>
      <c r="BK13" s="331"/>
      <c r="BL13" s="331"/>
      <c r="BM13" s="331"/>
      <c r="BN13" s="331"/>
      <c r="BO13" s="331"/>
      <c r="BP13" s="332"/>
    </row>
    <row r="14" spans="1:68" x14ac:dyDescent="0.3">
      <c r="A14" s="369" t="s">
        <v>153</v>
      </c>
      <c r="B14" s="334">
        <v>30000</v>
      </c>
      <c r="C14" s="335">
        <v>0</v>
      </c>
      <c r="D14" s="370">
        <f t="shared" ref="D14:D25" si="10">C14*B14</f>
        <v>0</v>
      </c>
      <c r="E14" s="338" t="s">
        <v>145</v>
      </c>
      <c r="F14" s="338"/>
      <c r="G14" s="338"/>
      <c r="H14" s="338" t="s">
        <v>32</v>
      </c>
      <c r="I14" s="338"/>
      <c r="J14" s="338"/>
      <c r="K14" s="338"/>
      <c r="L14" s="338"/>
      <c r="M14" s="338"/>
      <c r="N14" s="338"/>
      <c r="O14" s="338" t="s">
        <v>32</v>
      </c>
      <c r="P14" s="338"/>
      <c r="Q14" s="338"/>
      <c r="R14" s="338"/>
      <c r="S14" s="338"/>
      <c r="T14" s="338"/>
      <c r="U14" s="338"/>
      <c r="V14" s="338"/>
      <c r="W14" s="338"/>
      <c r="X14" s="338"/>
      <c r="Y14" s="338"/>
      <c r="Z14" s="338"/>
      <c r="AA14" s="338"/>
      <c r="AB14" s="338"/>
      <c r="AC14" s="338"/>
      <c r="AD14" s="338"/>
      <c r="AE14" s="338"/>
      <c r="AF14" s="338"/>
      <c r="AG14" s="338"/>
      <c r="AH14" s="338"/>
      <c r="AI14" s="339"/>
      <c r="AJ14" s="329"/>
      <c r="AL14" s="340">
        <f t="shared" ref="AL14:AL25" si="11">IF(E14="p",$B14,IF(E14="r",$B14-$D14,""))</f>
        <v>30000</v>
      </c>
      <c r="AM14" s="341" t="str">
        <f t="shared" ref="AM14:AM25" si="12">IF(F14="p",$B14,IF(F14="r",$B14-$D14,""))</f>
        <v/>
      </c>
      <c r="AN14" s="341" t="str">
        <f t="shared" ref="AN14:AN25" si="13">IF(G14="p",$B14,IF(G14="r",$B14-$D14,""))</f>
        <v/>
      </c>
      <c r="AO14" s="341" t="str">
        <f t="shared" ref="AO14:AO25" si="14">IF(H14="p",$B14,IF(H14="r",$B14-$D14,""))</f>
        <v/>
      </c>
      <c r="AP14" s="341" t="str">
        <f t="shared" ref="AP14:AP25" si="15">IF(I14="p",$B14,IF(I14="r",$B14-$D14,""))</f>
        <v/>
      </c>
      <c r="AQ14" s="341" t="str">
        <f t="shared" ref="AQ14:AQ25" si="16">IF(J14="p",$B14,IF(J14="r",$B14-$D14,""))</f>
        <v/>
      </c>
      <c r="AR14" s="341" t="str">
        <f t="shared" ref="AR14:AR25" si="17">IF(K14="p",$B14,IF(K14="r",$B14-$D14,""))</f>
        <v/>
      </c>
      <c r="AS14" s="341" t="str">
        <f t="shared" ref="AS14:AS25" si="18">IF(L14="p",$B14,IF(L14="r",$B14-$D14,""))</f>
        <v/>
      </c>
      <c r="AT14" s="341" t="str">
        <f t="shared" ref="AT14:AT25" si="19">IF(M14="p",$B14,IF(M14="r",$B14-$D14,""))</f>
        <v/>
      </c>
      <c r="AU14" s="341" t="str">
        <f t="shared" ref="AU14:AU25" si="20">IF(N14="p",$B14,IF(N14="r",$B14-$D14,""))</f>
        <v/>
      </c>
      <c r="AV14" s="341" t="str">
        <f t="shared" ref="AV14:AV25" si="21">IF(O14="p",$B14,IF(O14="r",$B14-$D14,""))</f>
        <v/>
      </c>
      <c r="AW14" s="341" t="str">
        <f t="shared" ref="AW14:AW25" si="22">IF(P14="p",$B14,IF(P14="r",$B14-$D14,""))</f>
        <v/>
      </c>
      <c r="AX14" s="341" t="str">
        <f t="shared" ref="AX14:AX25" si="23">IF(Q14="p",$B14,IF(Q14="r",$B14-$D14,""))</f>
        <v/>
      </c>
      <c r="AY14" s="341" t="str">
        <f t="shared" ref="AY14:AY25" si="24">IF(R14="p",$B14,IF(R14="r",$B14-$D14,""))</f>
        <v/>
      </c>
      <c r="AZ14" s="341" t="str">
        <f t="shared" ref="AZ14:AZ25" si="25">IF(S14="p",$B14,IF(S14="r",$B14-$D14,""))</f>
        <v/>
      </c>
      <c r="BA14" s="341" t="str">
        <f t="shared" ref="BA14:BA25" si="26">IF(T14="p",$B14,IF(T14="r",$B14-$D14,""))</f>
        <v/>
      </c>
      <c r="BB14" s="341" t="str">
        <f t="shared" ref="BB14:BB25" si="27">IF(U14="p",$B14,IF(U14="r",$B14-$D14,""))</f>
        <v/>
      </c>
      <c r="BC14" s="341" t="str">
        <f t="shared" ref="BC14:BC25" si="28">IF(V14="p",$B14,IF(V14="r",$B14-$D14,""))</f>
        <v/>
      </c>
      <c r="BD14" s="341" t="str">
        <f t="shared" ref="BD14:BD25" si="29">IF(W14="p",$B14,IF(W14="r",$B14-$D14,""))</f>
        <v/>
      </c>
      <c r="BE14" s="341" t="str">
        <f t="shared" ref="BE14:BE25" si="30">IF(X14="p",$B14,IF(X14="r",$B14-$D14,""))</f>
        <v/>
      </c>
      <c r="BF14" s="341" t="str">
        <f t="shared" ref="BF14:BF25" si="31">IF(Y14="p",$B14,IF(Y14="r",$B14-$D14,""))</f>
        <v/>
      </c>
      <c r="BG14" s="341" t="str">
        <f t="shared" ref="BG14:BG25" si="32">IF(Z14="p",$B14,IF(Z14="r",$B14-$D14,""))</f>
        <v/>
      </c>
      <c r="BH14" s="341" t="str">
        <f t="shared" ref="BH14:BH25" si="33">IF(AA14="p",$B14,IF(AA14="r",$B14-$D14,""))</f>
        <v/>
      </c>
      <c r="BI14" s="341" t="str">
        <f t="shared" ref="BI14:BI25" si="34">IF(AB14="p",$B14,IF(AB14="r",$B14-$D14,""))</f>
        <v/>
      </c>
      <c r="BJ14" s="341" t="str">
        <f t="shared" ref="BJ14:BJ25" si="35">IF(AC14="p",$B14,IF(AC14="r",$B14-$D14,""))</f>
        <v/>
      </c>
      <c r="BK14" s="341" t="str">
        <f t="shared" ref="BK14:BK25" si="36">IF(AD14="p",$B14,IF(AD14="r",$B14-$D14,""))</f>
        <v/>
      </c>
      <c r="BL14" s="341" t="str">
        <f t="shared" ref="BL14:BL25" si="37">IF(AE14="p",$B14,IF(AE14="r",$B14-$D14,""))</f>
        <v/>
      </c>
      <c r="BM14" s="341" t="str">
        <f t="shared" ref="BM14:BM25" si="38">IF(AF14="p",$B14,IF(AF14="r",$B14-$D14,""))</f>
        <v/>
      </c>
      <c r="BN14" s="341" t="str">
        <f t="shared" ref="BN14:BN25" si="39">IF(AG14="p",$B14,IF(AG14="r",$B14-$D14,""))</f>
        <v/>
      </c>
      <c r="BO14" s="341" t="str">
        <f t="shared" ref="BO14:BO25" si="40">IF(AH14="p",$B14,IF(AH14="r",$B14-$D14,""))</f>
        <v/>
      </c>
      <c r="BP14" s="342" t="str">
        <f t="shared" ref="BP14:BP25" si="41">IF(AI14="p",$B14,IF(AI14="r",$B14-$D14,""))</f>
        <v/>
      </c>
    </row>
    <row r="15" spans="1:68" x14ac:dyDescent="0.3">
      <c r="A15" s="343" t="s">
        <v>154</v>
      </c>
      <c r="B15" s="344">
        <v>4000</v>
      </c>
      <c r="C15" s="345">
        <v>0.1</v>
      </c>
      <c r="D15" s="371">
        <f t="shared" si="10"/>
        <v>400</v>
      </c>
      <c r="E15" s="347" t="s">
        <v>32</v>
      </c>
      <c r="F15" s="347"/>
      <c r="G15" s="347" t="s">
        <v>145</v>
      </c>
      <c r="H15" s="347"/>
      <c r="I15" s="347"/>
      <c r="J15" s="347"/>
      <c r="K15" s="347"/>
      <c r="L15" s="347"/>
      <c r="M15" s="347"/>
      <c r="N15" s="347"/>
      <c r="O15" s="347" t="s">
        <v>32</v>
      </c>
      <c r="P15" s="347"/>
      <c r="Q15" s="347"/>
      <c r="R15" s="347" t="s">
        <v>32</v>
      </c>
      <c r="S15" s="347"/>
      <c r="T15" s="347"/>
      <c r="U15" s="347"/>
      <c r="V15" s="347" t="s">
        <v>146</v>
      </c>
      <c r="W15" s="347"/>
      <c r="X15" s="347"/>
      <c r="Y15" s="347" t="s">
        <v>32</v>
      </c>
      <c r="Z15" s="347"/>
      <c r="AA15" s="347"/>
      <c r="AB15" s="347" t="s">
        <v>32</v>
      </c>
      <c r="AC15" s="347"/>
      <c r="AD15" s="347"/>
      <c r="AE15" s="347"/>
      <c r="AF15" s="347"/>
      <c r="AG15" s="347"/>
      <c r="AH15" s="347"/>
      <c r="AI15" s="348"/>
      <c r="AJ15" s="329"/>
      <c r="AL15" s="349" t="str">
        <f t="shared" si="11"/>
        <v/>
      </c>
      <c r="AM15" s="316" t="str">
        <f t="shared" si="12"/>
        <v/>
      </c>
      <c r="AN15" s="316">
        <f t="shared" si="13"/>
        <v>4000</v>
      </c>
      <c r="AO15" s="316" t="str">
        <f t="shared" si="14"/>
        <v/>
      </c>
      <c r="AP15" s="316" t="str">
        <f t="shared" si="15"/>
        <v/>
      </c>
      <c r="AQ15" s="316" t="str">
        <f t="shared" si="16"/>
        <v/>
      </c>
      <c r="AR15" s="316" t="str">
        <f t="shared" si="17"/>
        <v/>
      </c>
      <c r="AS15" s="316" t="str">
        <f t="shared" si="18"/>
        <v/>
      </c>
      <c r="AT15" s="316" t="str">
        <f t="shared" si="19"/>
        <v/>
      </c>
      <c r="AU15" s="316" t="str">
        <f t="shared" si="20"/>
        <v/>
      </c>
      <c r="AV15" s="316" t="str">
        <f t="shared" si="21"/>
        <v/>
      </c>
      <c r="AW15" s="316" t="str">
        <f t="shared" si="22"/>
        <v/>
      </c>
      <c r="AX15" s="316" t="str">
        <f t="shared" si="23"/>
        <v/>
      </c>
      <c r="AY15" s="316" t="str">
        <f t="shared" si="24"/>
        <v/>
      </c>
      <c r="AZ15" s="316" t="str">
        <f t="shared" si="25"/>
        <v/>
      </c>
      <c r="BA15" s="316" t="str">
        <f t="shared" si="26"/>
        <v/>
      </c>
      <c r="BB15" s="316" t="str">
        <f t="shared" si="27"/>
        <v/>
      </c>
      <c r="BC15" s="316">
        <f t="shared" si="28"/>
        <v>3600</v>
      </c>
      <c r="BD15" s="316" t="str">
        <f t="shared" si="29"/>
        <v/>
      </c>
      <c r="BE15" s="316" t="str">
        <f t="shared" si="30"/>
        <v/>
      </c>
      <c r="BF15" s="316" t="str">
        <f t="shared" si="31"/>
        <v/>
      </c>
      <c r="BG15" s="316" t="str">
        <f t="shared" si="32"/>
        <v/>
      </c>
      <c r="BH15" s="316" t="str">
        <f t="shared" si="33"/>
        <v/>
      </c>
      <c r="BI15" s="316" t="str">
        <f t="shared" si="34"/>
        <v/>
      </c>
      <c r="BJ15" s="316" t="str">
        <f t="shared" si="35"/>
        <v/>
      </c>
      <c r="BK15" s="316" t="str">
        <f t="shared" si="36"/>
        <v/>
      </c>
      <c r="BL15" s="316" t="str">
        <f t="shared" si="37"/>
        <v/>
      </c>
      <c r="BM15" s="316" t="str">
        <f t="shared" si="38"/>
        <v/>
      </c>
      <c r="BN15" s="316" t="str">
        <f t="shared" si="39"/>
        <v/>
      </c>
      <c r="BO15" s="316" t="str">
        <f t="shared" si="40"/>
        <v/>
      </c>
      <c r="BP15" s="350" t="str">
        <f t="shared" si="41"/>
        <v/>
      </c>
    </row>
    <row r="16" spans="1:68" x14ac:dyDescent="0.3">
      <c r="A16" s="343" t="s">
        <v>155</v>
      </c>
      <c r="B16" s="344">
        <v>3500</v>
      </c>
      <c r="C16" s="345">
        <v>0.1</v>
      </c>
      <c r="D16" s="371">
        <f t="shared" si="10"/>
        <v>350</v>
      </c>
      <c r="E16" s="347" t="s">
        <v>145</v>
      </c>
      <c r="F16" s="347"/>
      <c r="G16" s="347"/>
      <c r="H16" s="347" t="s">
        <v>32</v>
      </c>
      <c r="I16" s="347"/>
      <c r="J16" s="347"/>
      <c r="K16" s="347"/>
      <c r="L16" s="347"/>
      <c r="M16" s="347"/>
      <c r="N16" s="347"/>
      <c r="O16" s="347" t="s">
        <v>32</v>
      </c>
      <c r="P16" s="347"/>
      <c r="Q16" s="347"/>
      <c r="R16" s="347"/>
      <c r="S16" s="347"/>
      <c r="T16" s="347" t="s">
        <v>146</v>
      </c>
      <c r="U16" s="347"/>
      <c r="V16" s="347"/>
      <c r="W16" s="347"/>
      <c r="X16" s="347"/>
      <c r="Y16" s="347"/>
      <c r="Z16" s="347"/>
      <c r="AA16" s="347"/>
      <c r="AB16" s="347"/>
      <c r="AC16" s="347"/>
      <c r="AD16" s="347"/>
      <c r="AE16" s="347"/>
      <c r="AF16" s="347"/>
      <c r="AG16" s="347"/>
      <c r="AH16" s="347"/>
      <c r="AI16" s="348"/>
      <c r="AJ16" s="329"/>
      <c r="AL16" s="349">
        <f t="shared" si="11"/>
        <v>3500</v>
      </c>
      <c r="AM16" s="316" t="str">
        <f t="shared" si="12"/>
        <v/>
      </c>
      <c r="AN16" s="316" t="str">
        <f t="shared" si="13"/>
        <v/>
      </c>
      <c r="AO16" s="316" t="str">
        <f t="shared" si="14"/>
        <v/>
      </c>
      <c r="AP16" s="316" t="str">
        <f t="shared" si="15"/>
        <v/>
      </c>
      <c r="AQ16" s="316" t="str">
        <f t="shared" si="16"/>
        <v/>
      </c>
      <c r="AR16" s="316" t="str">
        <f t="shared" si="17"/>
        <v/>
      </c>
      <c r="AS16" s="316" t="str">
        <f t="shared" si="18"/>
        <v/>
      </c>
      <c r="AT16" s="316" t="str">
        <f t="shared" si="19"/>
        <v/>
      </c>
      <c r="AU16" s="316" t="str">
        <f t="shared" si="20"/>
        <v/>
      </c>
      <c r="AV16" s="316" t="str">
        <f t="shared" si="21"/>
        <v/>
      </c>
      <c r="AW16" s="316" t="str">
        <f t="shared" si="22"/>
        <v/>
      </c>
      <c r="AX16" s="316" t="str">
        <f t="shared" si="23"/>
        <v/>
      </c>
      <c r="AY16" s="316" t="str">
        <f t="shared" si="24"/>
        <v/>
      </c>
      <c r="AZ16" s="316" t="str">
        <f t="shared" si="25"/>
        <v/>
      </c>
      <c r="BA16" s="316">
        <f t="shared" si="26"/>
        <v>3150</v>
      </c>
      <c r="BB16" s="316" t="str">
        <f t="shared" si="27"/>
        <v/>
      </c>
      <c r="BC16" s="316" t="str">
        <f t="shared" si="28"/>
        <v/>
      </c>
      <c r="BD16" s="316" t="str">
        <f t="shared" si="29"/>
        <v/>
      </c>
      <c r="BE16" s="316" t="str">
        <f t="shared" si="30"/>
        <v/>
      </c>
      <c r="BF16" s="316" t="str">
        <f t="shared" si="31"/>
        <v/>
      </c>
      <c r="BG16" s="316" t="str">
        <f t="shared" si="32"/>
        <v/>
      </c>
      <c r="BH16" s="316" t="str">
        <f t="shared" si="33"/>
        <v/>
      </c>
      <c r="BI16" s="316" t="str">
        <f t="shared" si="34"/>
        <v/>
      </c>
      <c r="BJ16" s="316" t="str">
        <f t="shared" si="35"/>
        <v/>
      </c>
      <c r="BK16" s="316" t="str">
        <f t="shared" si="36"/>
        <v/>
      </c>
      <c r="BL16" s="316" t="str">
        <f t="shared" si="37"/>
        <v/>
      </c>
      <c r="BM16" s="316" t="str">
        <f t="shared" si="38"/>
        <v/>
      </c>
      <c r="BN16" s="316" t="str">
        <f t="shared" si="39"/>
        <v/>
      </c>
      <c r="BO16" s="316" t="str">
        <f t="shared" si="40"/>
        <v/>
      </c>
      <c r="BP16" s="350" t="str">
        <f t="shared" si="41"/>
        <v/>
      </c>
    </row>
    <row r="17" spans="1:68" x14ac:dyDescent="0.3">
      <c r="A17" s="343" t="s">
        <v>156</v>
      </c>
      <c r="B17" s="344">
        <v>25000</v>
      </c>
      <c r="C17" s="345">
        <v>0.1</v>
      </c>
      <c r="D17" s="371">
        <f t="shared" si="10"/>
        <v>2500</v>
      </c>
      <c r="E17" s="347" t="s">
        <v>32</v>
      </c>
      <c r="F17" s="347"/>
      <c r="G17" s="347"/>
      <c r="H17" s="347" t="s">
        <v>145</v>
      </c>
      <c r="I17" s="347"/>
      <c r="J17" s="347"/>
      <c r="K17" s="347" t="s">
        <v>32</v>
      </c>
      <c r="L17" s="347"/>
      <c r="M17" s="347"/>
      <c r="N17" s="347"/>
      <c r="O17" s="347"/>
      <c r="P17" s="347"/>
      <c r="Q17" s="347"/>
      <c r="R17" s="347"/>
      <c r="S17" s="347"/>
      <c r="T17" s="347"/>
      <c r="U17" s="347"/>
      <c r="V17" s="347"/>
      <c r="W17" s="347"/>
      <c r="X17" s="347"/>
      <c r="Y17" s="347"/>
      <c r="Z17" s="347"/>
      <c r="AA17" s="347"/>
      <c r="AB17" s="347"/>
      <c r="AC17" s="347"/>
      <c r="AD17" s="347"/>
      <c r="AE17" s="347"/>
      <c r="AF17" s="347"/>
      <c r="AG17" s="347"/>
      <c r="AH17" s="347"/>
      <c r="AI17" s="348"/>
      <c r="AJ17" s="329"/>
      <c r="AL17" s="349" t="str">
        <f t="shared" si="11"/>
        <v/>
      </c>
      <c r="AM17" s="316" t="str">
        <f t="shared" si="12"/>
        <v/>
      </c>
      <c r="AN17" s="316" t="str">
        <f t="shared" si="13"/>
        <v/>
      </c>
      <c r="AO17" s="316">
        <f t="shared" si="14"/>
        <v>25000</v>
      </c>
      <c r="AP17" s="316" t="str">
        <f t="shared" si="15"/>
        <v/>
      </c>
      <c r="AQ17" s="316" t="str">
        <f t="shared" si="16"/>
        <v/>
      </c>
      <c r="AR17" s="316" t="str">
        <f t="shared" si="17"/>
        <v/>
      </c>
      <c r="AS17" s="316" t="str">
        <f t="shared" si="18"/>
        <v/>
      </c>
      <c r="AT17" s="316" t="str">
        <f t="shared" si="19"/>
        <v/>
      </c>
      <c r="AU17" s="316" t="str">
        <f t="shared" si="20"/>
        <v/>
      </c>
      <c r="AV17" s="316" t="str">
        <f t="shared" si="21"/>
        <v/>
      </c>
      <c r="AW17" s="316" t="str">
        <f t="shared" si="22"/>
        <v/>
      </c>
      <c r="AX17" s="316" t="str">
        <f t="shared" si="23"/>
        <v/>
      </c>
      <c r="AY17" s="316" t="str">
        <f t="shared" si="24"/>
        <v/>
      </c>
      <c r="AZ17" s="316" t="str">
        <f t="shared" si="25"/>
        <v/>
      </c>
      <c r="BA17" s="316" t="str">
        <f t="shared" si="26"/>
        <v/>
      </c>
      <c r="BB17" s="316" t="str">
        <f t="shared" si="27"/>
        <v/>
      </c>
      <c r="BC17" s="316" t="str">
        <f t="shared" si="28"/>
        <v/>
      </c>
      <c r="BD17" s="316" t="str">
        <f t="shared" si="29"/>
        <v/>
      </c>
      <c r="BE17" s="316" t="str">
        <f t="shared" si="30"/>
        <v/>
      </c>
      <c r="BF17" s="316" t="str">
        <f t="shared" si="31"/>
        <v/>
      </c>
      <c r="BG17" s="316" t="str">
        <f t="shared" si="32"/>
        <v/>
      </c>
      <c r="BH17" s="316" t="str">
        <f t="shared" si="33"/>
        <v/>
      </c>
      <c r="BI17" s="316" t="str">
        <f t="shared" si="34"/>
        <v/>
      </c>
      <c r="BJ17" s="316" t="str">
        <f t="shared" si="35"/>
        <v/>
      </c>
      <c r="BK17" s="316" t="str">
        <f t="shared" si="36"/>
        <v/>
      </c>
      <c r="BL17" s="316" t="str">
        <f t="shared" si="37"/>
        <v/>
      </c>
      <c r="BM17" s="316" t="str">
        <f t="shared" si="38"/>
        <v/>
      </c>
      <c r="BN17" s="316" t="str">
        <f t="shared" si="39"/>
        <v/>
      </c>
      <c r="BO17" s="316" t="str">
        <f t="shared" si="40"/>
        <v/>
      </c>
      <c r="BP17" s="350" t="str">
        <f t="shared" si="41"/>
        <v/>
      </c>
    </row>
    <row r="18" spans="1:68" x14ac:dyDescent="0.3">
      <c r="A18" s="343" t="s">
        <v>157</v>
      </c>
      <c r="B18" s="344">
        <v>200</v>
      </c>
      <c r="C18" s="345">
        <v>0.1</v>
      </c>
      <c r="D18" s="371">
        <f t="shared" si="10"/>
        <v>20</v>
      </c>
      <c r="E18" s="347" t="s">
        <v>145</v>
      </c>
      <c r="F18" s="347"/>
      <c r="G18" s="347"/>
      <c r="H18" s="347"/>
      <c r="I18" s="347"/>
      <c r="J18" s="347"/>
      <c r="K18" s="347"/>
      <c r="L18" s="347"/>
      <c r="M18" s="347"/>
      <c r="N18" s="347"/>
      <c r="O18" s="347" t="s">
        <v>146</v>
      </c>
      <c r="P18" s="347"/>
      <c r="Q18" s="347"/>
      <c r="R18" s="347"/>
      <c r="S18" s="347"/>
      <c r="T18" s="347"/>
      <c r="U18" s="347"/>
      <c r="V18" s="347"/>
      <c r="W18" s="347"/>
      <c r="X18" s="347"/>
      <c r="Y18" s="347" t="s">
        <v>146</v>
      </c>
      <c r="Z18" s="347"/>
      <c r="AA18" s="347"/>
      <c r="AB18" s="347"/>
      <c r="AC18" s="347"/>
      <c r="AD18" s="347"/>
      <c r="AE18" s="347"/>
      <c r="AF18" s="347"/>
      <c r="AG18" s="347"/>
      <c r="AH18" s="347"/>
      <c r="AI18" s="348"/>
      <c r="AJ18" s="329"/>
      <c r="AL18" s="349">
        <f t="shared" si="11"/>
        <v>200</v>
      </c>
      <c r="AM18" s="316" t="str">
        <f t="shared" si="12"/>
        <v/>
      </c>
      <c r="AN18" s="316" t="str">
        <f t="shared" si="13"/>
        <v/>
      </c>
      <c r="AO18" s="316" t="str">
        <f t="shared" si="14"/>
        <v/>
      </c>
      <c r="AP18" s="316" t="str">
        <f t="shared" si="15"/>
        <v/>
      </c>
      <c r="AQ18" s="316" t="str">
        <f t="shared" si="16"/>
        <v/>
      </c>
      <c r="AR18" s="316" t="str">
        <f t="shared" si="17"/>
        <v/>
      </c>
      <c r="AS18" s="316" t="str">
        <f t="shared" si="18"/>
        <v/>
      </c>
      <c r="AT18" s="316" t="str">
        <f t="shared" si="19"/>
        <v/>
      </c>
      <c r="AU18" s="316" t="str">
        <f t="shared" si="20"/>
        <v/>
      </c>
      <c r="AV18" s="316">
        <f t="shared" si="21"/>
        <v>180</v>
      </c>
      <c r="AW18" s="316" t="str">
        <f t="shared" si="22"/>
        <v/>
      </c>
      <c r="AX18" s="316" t="str">
        <f t="shared" si="23"/>
        <v/>
      </c>
      <c r="AY18" s="316" t="str">
        <f t="shared" si="24"/>
        <v/>
      </c>
      <c r="AZ18" s="316" t="str">
        <f t="shared" si="25"/>
        <v/>
      </c>
      <c r="BA18" s="316" t="str">
        <f t="shared" si="26"/>
        <v/>
      </c>
      <c r="BB18" s="316" t="str">
        <f t="shared" si="27"/>
        <v/>
      </c>
      <c r="BC18" s="316" t="str">
        <f t="shared" si="28"/>
        <v/>
      </c>
      <c r="BD18" s="316" t="str">
        <f t="shared" si="29"/>
        <v/>
      </c>
      <c r="BE18" s="316" t="str">
        <f t="shared" si="30"/>
        <v/>
      </c>
      <c r="BF18" s="316">
        <f t="shared" si="31"/>
        <v>180</v>
      </c>
      <c r="BG18" s="316" t="str">
        <f t="shared" si="32"/>
        <v/>
      </c>
      <c r="BH18" s="316" t="str">
        <f t="shared" si="33"/>
        <v/>
      </c>
      <c r="BI18" s="316" t="str">
        <f t="shared" si="34"/>
        <v/>
      </c>
      <c r="BJ18" s="316" t="str">
        <f t="shared" si="35"/>
        <v/>
      </c>
      <c r="BK18" s="316" t="str">
        <f t="shared" si="36"/>
        <v/>
      </c>
      <c r="BL18" s="316" t="str">
        <f t="shared" si="37"/>
        <v/>
      </c>
      <c r="BM18" s="316" t="str">
        <f t="shared" si="38"/>
        <v/>
      </c>
      <c r="BN18" s="316" t="str">
        <f t="shared" si="39"/>
        <v/>
      </c>
      <c r="BO18" s="316" t="str">
        <f t="shared" si="40"/>
        <v/>
      </c>
      <c r="BP18" s="350" t="str">
        <f t="shared" si="41"/>
        <v/>
      </c>
    </row>
    <row r="19" spans="1:68" x14ac:dyDescent="0.3">
      <c r="A19" s="343" t="s">
        <v>158</v>
      </c>
      <c r="B19" s="344">
        <v>6000</v>
      </c>
      <c r="C19" s="345">
        <v>0.1</v>
      </c>
      <c r="D19" s="371">
        <f t="shared" si="10"/>
        <v>600</v>
      </c>
      <c r="E19" s="347" t="s">
        <v>145</v>
      </c>
      <c r="F19" s="347"/>
      <c r="G19" s="347"/>
      <c r="H19" s="347"/>
      <c r="I19" s="347"/>
      <c r="J19" s="347"/>
      <c r="K19" s="347"/>
      <c r="L19" s="347"/>
      <c r="M19" s="347"/>
      <c r="N19" s="347"/>
      <c r="O19" s="347" t="s">
        <v>32</v>
      </c>
      <c r="P19" s="347"/>
      <c r="Q19" s="347"/>
      <c r="R19" s="347"/>
      <c r="S19" s="347"/>
      <c r="T19" s="347"/>
      <c r="U19" s="347"/>
      <c r="V19" s="347"/>
      <c r="W19" s="347"/>
      <c r="X19" s="347"/>
      <c r="Y19" s="347" t="s">
        <v>32</v>
      </c>
      <c r="Z19" s="347"/>
      <c r="AA19" s="347"/>
      <c r="AB19" s="347"/>
      <c r="AC19" s="347"/>
      <c r="AD19" s="347"/>
      <c r="AE19" s="347"/>
      <c r="AF19" s="347"/>
      <c r="AG19" s="347"/>
      <c r="AH19" s="347"/>
      <c r="AI19" s="348"/>
      <c r="AJ19" s="329"/>
      <c r="AL19" s="349">
        <f t="shared" si="11"/>
        <v>6000</v>
      </c>
      <c r="AM19" s="316" t="str">
        <f t="shared" si="12"/>
        <v/>
      </c>
      <c r="AN19" s="316" t="str">
        <f t="shared" si="13"/>
        <v/>
      </c>
      <c r="AO19" s="316" t="str">
        <f t="shared" si="14"/>
        <v/>
      </c>
      <c r="AP19" s="316" t="str">
        <f t="shared" si="15"/>
        <v/>
      </c>
      <c r="AQ19" s="316" t="str">
        <f t="shared" si="16"/>
        <v/>
      </c>
      <c r="AR19" s="316" t="str">
        <f t="shared" si="17"/>
        <v/>
      </c>
      <c r="AS19" s="316" t="str">
        <f t="shared" si="18"/>
        <v/>
      </c>
      <c r="AT19" s="316" t="str">
        <f t="shared" si="19"/>
        <v/>
      </c>
      <c r="AU19" s="316" t="str">
        <f t="shared" si="20"/>
        <v/>
      </c>
      <c r="AV19" s="316" t="str">
        <f t="shared" si="21"/>
        <v/>
      </c>
      <c r="AW19" s="316" t="str">
        <f t="shared" si="22"/>
        <v/>
      </c>
      <c r="AX19" s="316" t="str">
        <f t="shared" si="23"/>
        <v/>
      </c>
      <c r="AY19" s="316" t="str">
        <f t="shared" si="24"/>
        <v/>
      </c>
      <c r="AZ19" s="316" t="str">
        <f t="shared" si="25"/>
        <v/>
      </c>
      <c r="BA19" s="316" t="str">
        <f t="shared" si="26"/>
        <v/>
      </c>
      <c r="BB19" s="316" t="str">
        <f t="shared" si="27"/>
        <v/>
      </c>
      <c r="BC19" s="316" t="str">
        <f t="shared" si="28"/>
        <v/>
      </c>
      <c r="BD19" s="316" t="str">
        <f t="shared" si="29"/>
        <v/>
      </c>
      <c r="BE19" s="316" t="str">
        <f t="shared" si="30"/>
        <v/>
      </c>
      <c r="BF19" s="316" t="str">
        <f t="shared" si="31"/>
        <v/>
      </c>
      <c r="BG19" s="316" t="str">
        <f t="shared" si="32"/>
        <v/>
      </c>
      <c r="BH19" s="316" t="str">
        <f t="shared" si="33"/>
        <v/>
      </c>
      <c r="BI19" s="316" t="str">
        <f t="shared" si="34"/>
        <v/>
      </c>
      <c r="BJ19" s="316" t="str">
        <f t="shared" si="35"/>
        <v/>
      </c>
      <c r="BK19" s="316" t="str">
        <f t="shared" si="36"/>
        <v/>
      </c>
      <c r="BL19" s="316" t="str">
        <f t="shared" si="37"/>
        <v/>
      </c>
      <c r="BM19" s="316" t="str">
        <f t="shared" si="38"/>
        <v/>
      </c>
      <c r="BN19" s="316" t="str">
        <f t="shared" si="39"/>
        <v/>
      </c>
      <c r="BO19" s="316" t="str">
        <f t="shared" si="40"/>
        <v/>
      </c>
      <c r="BP19" s="350" t="str">
        <f t="shared" si="41"/>
        <v/>
      </c>
    </row>
    <row r="20" spans="1:68" x14ac:dyDescent="0.3">
      <c r="A20" s="343" t="s">
        <v>159</v>
      </c>
      <c r="B20" s="344">
        <v>0</v>
      </c>
      <c r="C20" s="345">
        <v>0.1</v>
      </c>
      <c r="D20" s="371">
        <f t="shared" si="10"/>
        <v>0</v>
      </c>
      <c r="E20" s="347" t="s">
        <v>32</v>
      </c>
      <c r="F20" s="347"/>
      <c r="G20" s="347"/>
      <c r="H20" s="347"/>
      <c r="I20" s="347" t="s">
        <v>32</v>
      </c>
      <c r="J20" s="347" t="s">
        <v>32</v>
      </c>
      <c r="K20" s="347"/>
      <c r="L20" s="347" t="s">
        <v>145</v>
      </c>
      <c r="M20" s="347"/>
      <c r="N20" s="347"/>
      <c r="O20" s="347" t="s">
        <v>32</v>
      </c>
      <c r="P20" s="347"/>
      <c r="Q20" s="347"/>
      <c r="R20" s="347"/>
      <c r="S20" s="347"/>
      <c r="T20" s="347"/>
      <c r="U20" s="347"/>
      <c r="V20" s="347"/>
      <c r="W20" s="347"/>
      <c r="X20" s="347"/>
      <c r="Y20" s="347" t="s">
        <v>32</v>
      </c>
      <c r="Z20" s="347"/>
      <c r="AA20" s="347"/>
      <c r="AB20" s="347"/>
      <c r="AC20" s="347"/>
      <c r="AD20" s="347"/>
      <c r="AE20" s="347"/>
      <c r="AF20" s="347"/>
      <c r="AG20" s="347"/>
      <c r="AH20" s="347"/>
      <c r="AI20" s="348"/>
      <c r="AJ20" s="329"/>
      <c r="AL20" s="349" t="str">
        <f t="shared" si="11"/>
        <v/>
      </c>
      <c r="AM20" s="316" t="str">
        <f t="shared" si="12"/>
        <v/>
      </c>
      <c r="AN20" s="316" t="str">
        <f t="shared" si="13"/>
        <v/>
      </c>
      <c r="AO20" s="316" t="str">
        <f t="shared" si="14"/>
        <v/>
      </c>
      <c r="AP20" s="316" t="str">
        <f t="shared" si="15"/>
        <v/>
      </c>
      <c r="AQ20" s="316" t="str">
        <f t="shared" si="16"/>
        <v/>
      </c>
      <c r="AR20" s="316" t="str">
        <f t="shared" si="17"/>
        <v/>
      </c>
      <c r="AS20" s="316">
        <f t="shared" si="18"/>
        <v>0</v>
      </c>
      <c r="AT20" s="316" t="str">
        <f t="shared" si="19"/>
        <v/>
      </c>
      <c r="AU20" s="316" t="str">
        <f t="shared" si="20"/>
        <v/>
      </c>
      <c r="AV20" s="316" t="str">
        <f t="shared" si="21"/>
        <v/>
      </c>
      <c r="AW20" s="316" t="str">
        <f t="shared" si="22"/>
        <v/>
      </c>
      <c r="AX20" s="316" t="str">
        <f t="shared" si="23"/>
        <v/>
      </c>
      <c r="AY20" s="316" t="str">
        <f t="shared" si="24"/>
        <v/>
      </c>
      <c r="AZ20" s="316" t="str">
        <f t="shared" si="25"/>
        <v/>
      </c>
      <c r="BA20" s="316" t="str">
        <f t="shared" si="26"/>
        <v/>
      </c>
      <c r="BB20" s="316" t="str">
        <f t="shared" si="27"/>
        <v/>
      </c>
      <c r="BC20" s="316" t="str">
        <f t="shared" si="28"/>
        <v/>
      </c>
      <c r="BD20" s="316" t="str">
        <f t="shared" si="29"/>
        <v/>
      </c>
      <c r="BE20" s="316" t="str">
        <f t="shared" si="30"/>
        <v/>
      </c>
      <c r="BF20" s="316" t="str">
        <f t="shared" si="31"/>
        <v/>
      </c>
      <c r="BG20" s="316" t="str">
        <f t="shared" si="32"/>
        <v/>
      </c>
      <c r="BH20" s="316" t="str">
        <f t="shared" si="33"/>
        <v/>
      </c>
      <c r="BI20" s="316" t="str">
        <f t="shared" si="34"/>
        <v/>
      </c>
      <c r="BJ20" s="316" t="str">
        <f t="shared" si="35"/>
        <v/>
      </c>
      <c r="BK20" s="316" t="str">
        <f t="shared" si="36"/>
        <v/>
      </c>
      <c r="BL20" s="316" t="str">
        <f t="shared" si="37"/>
        <v/>
      </c>
      <c r="BM20" s="316" t="str">
        <f t="shared" si="38"/>
        <v/>
      </c>
      <c r="BN20" s="316" t="str">
        <f t="shared" si="39"/>
        <v/>
      </c>
      <c r="BO20" s="316" t="str">
        <f t="shared" si="40"/>
        <v/>
      </c>
      <c r="BP20" s="350" t="str">
        <f t="shared" si="41"/>
        <v/>
      </c>
    </row>
    <row r="21" spans="1:68" x14ac:dyDescent="0.3">
      <c r="A21" s="343" t="s">
        <v>160</v>
      </c>
      <c r="B21" s="344">
        <v>10800</v>
      </c>
      <c r="C21" s="345">
        <v>0</v>
      </c>
      <c r="D21" s="371">
        <f t="shared" si="10"/>
        <v>0</v>
      </c>
      <c r="E21" s="347" t="s">
        <v>32</v>
      </c>
      <c r="F21" s="347"/>
      <c r="G21" s="347"/>
      <c r="H21" s="347"/>
      <c r="I21" s="347" t="s">
        <v>32</v>
      </c>
      <c r="J21" s="347"/>
      <c r="K21" s="347"/>
      <c r="L21" s="347" t="s">
        <v>145</v>
      </c>
      <c r="M21" s="347"/>
      <c r="N21" s="347"/>
      <c r="O21" s="347" t="s">
        <v>32</v>
      </c>
      <c r="P21" s="347"/>
      <c r="Q21" s="347"/>
      <c r="R21" s="347"/>
      <c r="S21" s="347"/>
      <c r="T21" s="347"/>
      <c r="U21" s="347"/>
      <c r="V21" s="347" t="s">
        <v>32</v>
      </c>
      <c r="W21" s="347"/>
      <c r="X21" s="347"/>
      <c r="Y21" s="347" t="s">
        <v>32</v>
      </c>
      <c r="Z21" s="347"/>
      <c r="AA21" s="347"/>
      <c r="AB21" s="347"/>
      <c r="AC21" s="347"/>
      <c r="AD21" s="347"/>
      <c r="AE21" s="347"/>
      <c r="AF21" s="347"/>
      <c r="AG21" s="347"/>
      <c r="AH21" s="347"/>
      <c r="AI21" s="348"/>
      <c r="AJ21" s="329"/>
      <c r="AL21" s="349" t="str">
        <f t="shared" si="11"/>
        <v/>
      </c>
      <c r="AM21" s="316" t="str">
        <f t="shared" si="12"/>
        <v/>
      </c>
      <c r="AN21" s="316" t="str">
        <f t="shared" si="13"/>
        <v/>
      </c>
      <c r="AO21" s="316" t="str">
        <f t="shared" si="14"/>
        <v/>
      </c>
      <c r="AP21" s="316" t="str">
        <f t="shared" si="15"/>
        <v/>
      </c>
      <c r="AQ21" s="316" t="str">
        <f t="shared" si="16"/>
        <v/>
      </c>
      <c r="AR21" s="316" t="str">
        <f t="shared" si="17"/>
        <v/>
      </c>
      <c r="AS21" s="316">
        <f t="shared" si="18"/>
        <v>10800</v>
      </c>
      <c r="AT21" s="316" t="str">
        <f t="shared" si="19"/>
        <v/>
      </c>
      <c r="AU21" s="316" t="str">
        <f t="shared" si="20"/>
        <v/>
      </c>
      <c r="AV21" s="316" t="str">
        <f t="shared" si="21"/>
        <v/>
      </c>
      <c r="AW21" s="316" t="str">
        <f t="shared" si="22"/>
        <v/>
      </c>
      <c r="AX21" s="316" t="str">
        <f t="shared" si="23"/>
        <v/>
      </c>
      <c r="AY21" s="316" t="str">
        <f t="shared" si="24"/>
        <v/>
      </c>
      <c r="AZ21" s="316" t="str">
        <f t="shared" si="25"/>
        <v/>
      </c>
      <c r="BA21" s="316" t="str">
        <f t="shared" si="26"/>
        <v/>
      </c>
      <c r="BB21" s="316" t="str">
        <f t="shared" si="27"/>
        <v/>
      </c>
      <c r="BC21" s="316" t="str">
        <f t="shared" si="28"/>
        <v/>
      </c>
      <c r="BD21" s="316" t="str">
        <f t="shared" si="29"/>
        <v/>
      </c>
      <c r="BE21" s="316" t="str">
        <f t="shared" si="30"/>
        <v/>
      </c>
      <c r="BF21" s="316" t="str">
        <f t="shared" si="31"/>
        <v/>
      </c>
      <c r="BG21" s="316" t="str">
        <f t="shared" si="32"/>
        <v/>
      </c>
      <c r="BH21" s="316" t="str">
        <f t="shared" si="33"/>
        <v/>
      </c>
      <c r="BI21" s="316" t="str">
        <f t="shared" si="34"/>
        <v/>
      </c>
      <c r="BJ21" s="316" t="str">
        <f t="shared" si="35"/>
        <v/>
      </c>
      <c r="BK21" s="316" t="str">
        <f t="shared" si="36"/>
        <v/>
      </c>
      <c r="BL21" s="316" t="str">
        <f t="shared" si="37"/>
        <v/>
      </c>
      <c r="BM21" s="316" t="str">
        <f t="shared" si="38"/>
        <v/>
      </c>
      <c r="BN21" s="316" t="str">
        <f t="shared" si="39"/>
        <v/>
      </c>
      <c r="BO21" s="316" t="str">
        <f t="shared" si="40"/>
        <v/>
      </c>
      <c r="BP21" s="350" t="str">
        <f t="shared" si="41"/>
        <v/>
      </c>
    </row>
    <row r="22" spans="1:68" x14ac:dyDescent="0.3">
      <c r="A22" s="343" t="s">
        <v>161</v>
      </c>
      <c r="B22" s="344">
        <v>3750</v>
      </c>
      <c r="C22" s="345">
        <v>0</v>
      </c>
      <c r="D22" s="371">
        <f t="shared" si="10"/>
        <v>0</v>
      </c>
      <c r="E22" s="347" t="s">
        <v>32</v>
      </c>
      <c r="F22" s="347"/>
      <c r="G22" s="347" t="s">
        <v>145</v>
      </c>
      <c r="H22" s="347" t="s">
        <v>32</v>
      </c>
      <c r="I22" s="347" t="s">
        <v>146</v>
      </c>
      <c r="J22" s="347"/>
      <c r="K22" s="347"/>
      <c r="L22" s="347"/>
      <c r="M22" s="347"/>
      <c r="N22" s="347"/>
      <c r="O22" s="347"/>
      <c r="P22" s="347"/>
      <c r="Q22" s="347"/>
      <c r="R22" s="347"/>
      <c r="S22" s="347"/>
      <c r="T22" s="347"/>
      <c r="U22" s="347"/>
      <c r="V22" s="347"/>
      <c r="W22" s="347"/>
      <c r="X22" s="347" t="s">
        <v>32</v>
      </c>
      <c r="Y22" s="347" t="s">
        <v>32</v>
      </c>
      <c r="Z22" s="347"/>
      <c r="AA22" s="347"/>
      <c r="AB22" s="347"/>
      <c r="AC22" s="347"/>
      <c r="AD22" s="347"/>
      <c r="AE22" s="347"/>
      <c r="AF22" s="347"/>
      <c r="AG22" s="347"/>
      <c r="AH22" s="347"/>
      <c r="AI22" s="348"/>
      <c r="AJ22" s="329"/>
      <c r="AL22" s="349" t="str">
        <f t="shared" si="11"/>
        <v/>
      </c>
      <c r="AM22" s="316" t="str">
        <f t="shared" si="12"/>
        <v/>
      </c>
      <c r="AN22" s="316">
        <f t="shared" si="13"/>
        <v>3750</v>
      </c>
      <c r="AO22" s="316" t="str">
        <f t="shared" si="14"/>
        <v/>
      </c>
      <c r="AP22" s="316">
        <f t="shared" si="15"/>
        <v>3750</v>
      </c>
      <c r="AQ22" s="316" t="str">
        <f t="shared" si="16"/>
        <v/>
      </c>
      <c r="AR22" s="316" t="str">
        <f t="shared" si="17"/>
        <v/>
      </c>
      <c r="AS22" s="316" t="str">
        <f t="shared" si="18"/>
        <v/>
      </c>
      <c r="AT22" s="316" t="str">
        <f t="shared" si="19"/>
        <v/>
      </c>
      <c r="AU22" s="316" t="str">
        <f t="shared" si="20"/>
        <v/>
      </c>
      <c r="AV22" s="316" t="str">
        <f t="shared" si="21"/>
        <v/>
      </c>
      <c r="AW22" s="316" t="str">
        <f t="shared" si="22"/>
        <v/>
      </c>
      <c r="AX22" s="316" t="str">
        <f t="shared" si="23"/>
        <v/>
      </c>
      <c r="AY22" s="316" t="str">
        <f t="shared" si="24"/>
        <v/>
      </c>
      <c r="AZ22" s="316" t="str">
        <f t="shared" si="25"/>
        <v/>
      </c>
      <c r="BA22" s="316" t="str">
        <f t="shared" si="26"/>
        <v/>
      </c>
      <c r="BB22" s="316" t="str">
        <f t="shared" si="27"/>
        <v/>
      </c>
      <c r="BC22" s="316" t="str">
        <f t="shared" si="28"/>
        <v/>
      </c>
      <c r="BD22" s="316" t="str">
        <f t="shared" si="29"/>
        <v/>
      </c>
      <c r="BE22" s="316" t="str">
        <f t="shared" si="30"/>
        <v/>
      </c>
      <c r="BF22" s="316" t="str">
        <f t="shared" si="31"/>
        <v/>
      </c>
      <c r="BG22" s="316" t="str">
        <f t="shared" si="32"/>
        <v/>
      </c>
      <c r="BH22" s="316" t="str">
        <f t="shared" si="33"/>
        <v/>
      </c>
      <c r="BI22" s="316" t="str">
        <f t="shared" si="34"/>
        <v/>
      </c>
      <c r="BJ22" s="316" t="str">
        <f t="shared" si="35"/>
        <v/>
      </c>
      <c r="BK22" s="316" t="str">
        <f t="shared" si="36"/>
        <v/>
      </c>
      <c r="BL22" s="316" t="str">
        <f t="shared" si="37"/>
        <v/>
      </c>
      <c r="BM22" s="316" t="str">
        <f t="shared" si="38"/>
        <v/>
      </c>
      <c r="BN22" s="316" t="str">
        <f t="shared" si="39"/>
        <v/>
      </c>
      <c r="BO22" s="316" t="str">
        <f t="shared" si="40"/>
        <v/>
      </c>
      <c r="BP22" s="350" t="str">
        <f t="shared" si="41"/>
        <v/>
      </c>
    </row>
    <row r="23" spans="1:68" x14ac:dyDescent="0.3">
      <c r="A23" s="343" t="s">
        <v>162</v>
      </c>
      <c r="B23" s="344">
        <v>600</v>
      </c>
      <c r="C23" s="345">
        <v>0</v>
      </c>
      <c r="D23" s="371">
        <f t="shared" si="10"/>
        <v>0</v>
      </c>
      <c r="E23" s="347" t="s">
        <v>32</v>
      </c>
      <c r="F23" s="347"/>
      <c r="G23" s="347"/>
      <c r="H23" s="347"/>
      <c r="I23" s="347" t="s">
        <v>145</v>
      </c>
      <c r="J23" s="347"/>
      <c r="K23" s="347"/>
      <c r="L23" s="347"/>
      <c r="M23" s="347" t="s">
        <v>145</v>
      </c>
      <c r="N23" s="347" t="s">
        <v>32</v>
      </c>
      <c r="O23" s="347" t="s">
        <v>32</v>
      </c>
      <c r="P23" s="347"/>
      <c r="Q23" s="347" t="s">
        <v>145</v>
      </c>
      <c r="R23" s="347"/>
      <c r="S23" s="347"/>
      <c r="T23" s="347"/>
      <c r="U23" s="347" t="s">
        <v>145</v>
      </c>
      <c r="V23" s="347"/>
      <c r="W23" s="347"/>
      <c r="X23" s="347"/>
      <c r="Y23" s="347" t="s">
        <v>145</v>
      </c>
      <c r="Z23" s="347"/>
      <c r="AA23" s="347"/>
      <c r="AB23" s="347"/>
      <c r="AC23" s="347" t="s">
        <v>145</v>
      </c>
      <c r="AD23" s="347"/>
      <c r="AE23" s="347"/>
      <c r="AF23" s="347"/>
      <c r="AG23" s="347" t="s">
        <v>145</v>
      </c>
      <c r="AH23" s="347"/>
      <c r="AI23" s="348"/>
      <c r="AJ23" s="329"/>
      <c r="AL23" s="349" t="str">
        <f t="shared" si="11"/>
        <v/>
      </c>
      <c r="AM23" s="316" t="str">
        <f t="shared" si="12"/>
        <v/>
      </c>
      <c r="AN23" s="316" t="str">
        <f t="shared" si="13"/>
        <v/>
      </c>
      <c r="AO23" s="316" t="str">
        <f t="shared" si="14"/>
        <v/>
      </c>
      <c r="AP23" s="316">
        <f t="shared" si="15"/>
        <v>600</v>
      </c>
      <c r="AQ23" s="316" t="str">
        <f t="shared" si="16"/>
        <v/>
      </c>
      <c r="AR23" s="316" t="str">
        <f t="shared" si="17"/>
        <v/>
      </c>
      <c r="AS23" s="316" t="str">
        <f t="shared" si="18"/>
        <v/>
      </c>
      <c r="AT23" s="316">
        <f t="shared" si="19"/>
        <v>600</v>
      </c>
      <c r="AU23" s="316" t="str">
        <f t="shared" si="20"/>
        <v/>
      </c>
      <c r="AV23" s="316" t="str">
        <f t="shared" si="21"/>
        <v/>
      </c>
      <c r="AW23" s="316" t="str">
        <f t="shared" si="22"/>
        <v/>
      </c>
      <c r="AX23" s="316">
        <f t="shared" si="23"/>
        <v>600</v>
      </c>
      <c r="AY23" s="316" t="str">
        <f t="shared" si="24"/>
        <v/>
      </c>
      <c r="AZ23" s="316" t="str">
        <f t="shared" si="25"/>
        <v/>
      </c>
      <c r="BA23" s="316" t="str">
        <f t="shared" si="26"/>
        <v/>
      </c>
      <c r="BB23" s="316">
        <f t="shared" si="27"/>
        <v>600</v>
      </c>
      <c r="BC23" s="316" t="str">
        <f t="shared" si="28"/>
        <v/>
      </c>
      <c r="BD23" s="316" t="str">
        <f t="shared" si="29"/>
        <v/>
      </c>
      <c r="BE23" s="316" t="str">
        <f t="shared" si="30"/>
        <v/>
      </c>
      <c r="BF23" s="316">
        <f t="shared" si="31"/>
        <v>600</v>
      </c>
      <c r="BG23" s="316" t="str">
        <f t="shared" si="32"/>
        <v/>
      </c>
      <c r="BH23" s="316" t="str">
        <f t="shared" si="33"/>
        <v/>
      </c>
      <c r="BI23" s="316" t="str">
        <f t="shared" si="34"/>
        <v/>
      </c>
      <c r="BJ23" s="316">
        <f t="shared" si="35"/>
        <v>600</v>
      </c>
      <c r="BK23" s="316" t="str">
        <f t="shared" si="36"/>
        <v/>
      </c>
      <c r="BL23" s="316" t="str">
        <f t="shared" si="37"/>
        <v/>
      </c>
      <c r="BM23" s="316" t="str">
        <f t="shared" si="38"/>
        <v/>
      </c>
      <c r="BN23" s="316">
        <f t="shared" si="39"/>
        <v>600</v>
      </c>
      <c r="BO23" s="316" t="str">
        <f t="shared" si="40"/>
        <v/>
      </c>
      <c r="BP23" s="350" t="str">
        <f t="shared" si="41"/>
        <v/>
      </c>
    </row>
    <row r="24" spans="1:68" x14ac:dyDescent="0.3">
      <c r="A24" s="343" t="s">
        <v>163</v>
      </c>
      <c r="B24" s="344">
        <v>50000</v>
      </c>
      <c r="C24" s="345">
        <v>0.1</v>
      </c>
      <c r="D24" s="371">
        <f t="shared" si="10"/>
        <v>5000</v>
      </c>
      <c r="E24" s="347" t="s">
        <v>32</v>
      </c>
      <c r="F24" s="347"/>
      <c r="G24" s="347" t="s">
        <v>145</v>
      </c>
      <c r="H24" s="347"/>
      <c r="I24" s="347" t="s">
        <v>32</v>
      </c>
      <c r="J24" s="347"/>
      <c r="K24" s="347"/>
      <c r="L24" s="347"/>
      <c r="M24" s="347"/>
      <c r="N24" s="347"/>
      <c r="O24" s="347" t="s">
        <v>32</v>
      </c>
      <c r="P24" s="347"/>
      <c r="Q24" s="347"/>
      <c r="R24" s="347"/>
      <c r="S24" s="347"/>
      <c r="T24" s="347"/>
      <c r="U24" s="347"/>
      <c r="V24" s="347"/>
      <c r="W24" s="347"/>
      <c r="X24" s="347"/>
      <c r="Y24" s="347"/>
      <c r="Z24" s="347"/>
      <c r="AA24" s="347"/>
      <c r="AB24" s="347"/>
      <c r="AC24" s="347"/>
      <c r="AD24" s="347"/>
      <c r="AE24" s="347"/>
      <c r="AF24" s="347"/>
      <c r="AG24" s="347"/>
      <c r="AH24" s="347"/>
      <c r="AI24" s="348"/>
      <c r="AJ24" s="329"/>
      <c r="AL24" s="349" t="str">
        <f t="shared" si="11"/>
        <v/>
      </c>
      <c r="AM24" s="316" t="str">
        <f t="shared" si="12"/>
        <v/>
      </c>
      <c r="AN24" s="316">
        <f t="shared" si="13"/>
        <v>50000</v>
      </c>
      <c r="AO24" s="316" t="str">
        <f t="shared" si="14"/>
        <v/>
      </c>
      <c r="AP24" s="316" t="str">
        <f t="shared" si="15"/>
        <v/>
      </c>
      <c r="AQ24" s="316" t="str">
        <f t="shared" si="16"/>
        <v/>
      </c>
      <c r="AR24" s="316" t="str">
        <f t="shared" si="17"/>
        <v/>
      </c>
      <c r="AS24" s="316" t="str">
        <f t="shared" si="18"/>
        <v/>
      </c>
      <c r="AT24" s="316" t="str">
        <f t="shared" si="19"/>
        <v/>
      </c>
      <c r="AU24" s="316" t="str">
        <f t="shared" si="20"/>
        <v/>
      </c>
      <c r="AV24" s="316" t="str">
        <f t="shared" si="21"/>
        <v/>
      </c>
      <c r="AW24" s="316" t="str">
        <f t="shared" si="22"/>
        <v/>
      </c>
      <c r="AX24" s="316" t="str">
        <f t="shared" si="23"/>
        <v/>
      </c>
      <c r="AY24" s="316" t="str">
        <f t="shared" si="24"/>
        <v/>
      </c>
      <c r="AZ24" s="316" t="str">
        <f t="shared" si="25"/>
        <v/>
      </c>
      <c r="BA24" s="316" t="str">
        <f t="shared" si="26"/>
        <v/>
      </c>
      <c r="BB24" s="316" t="str">
        <f t="shared" si="27"/>
        <v/>
      </c>
      <c r="BC24" s="316" t="str">
        <f t="shared" si="28"/>
        <v/>
      </c>
      <c r="BD24" s="316" t="str">
        <f t="shared" si="29"/>
        <v/>
      </c>
      <c r="BE24" s="316" t="str">
        <f t="shared" si="30"/>
        <v/>
      </c>
      <c r="BF24" s="316" t="str">
        <f t="shared" si="31"/>
        <v/>
      </c>
      <c r="BG24" s="316" t="str">
        <f t="shared" si="32"/>
        <v/>
      </c>
      <c r="BH24" s="316" t="str">
        <f t="shared" si="33"/>
        <v/>
      </c>
      <c r="BI24" s="316" t="str">
        <f t="shared" si="34"/>
        <v/>
      </c>
      <c r="BJ24" s="316" t="str">
        <f t="shared" si="35"/>
        <v/>
      </c>
      <c r="BK24" s="316" t="str">
        <f t="shared" si="36"/>
        <v/>
      </c>
      <c r="BL24" s="316" t="str">
        <f t="shared" si="37"/>
        <v/>
      </c>
      <c r="BM24" s="316" t="str">
        <f t="shared" si="38"/>
        <v/>
      </c>
      <c r="BN24" s="316" t="str">
        <f t="shared" si="39"/>
        <v/>
      </c>
      <c r="BO24" s="316" t="str">
        <f t="shared" si="40"/>
        <v/>
      </c>
      <c r="BP24" s="350" t="str">
        <f t="shared" si="41"/>
        <v/>
      </c>
    </row>
    <row r="25" spans="1:68" x14ac:dyDescent="0.3">
      <c r="A25" s="372" t="s">
        <v>164</v>
      </c>
      <c r="B25" s="352">
        <v>3000</v>
      </c>
      <c r="C25" s="353">
        <v>0.1</v>
      </c>
      <c r="D25" s="373">
        <f t="shared" si="10"/>
        <v>300</v>
      </c>
      <c r="E25" s="356" t="s">
        <v>145</v>
      </c>
      <c r="F25" s="356"/>
      <c r="G25" s="356"/>
      <c r="H25" s="356"/>
      <c r="I25" s="356"/>
      <c r="J25" s="356"/>
      <c r="K25" s="356"/>
      <c r="L25" s="356"/>
      <c r="M25" s="356"/>
      <c r="N25" s="356"/>
      <c r="O25" s="356"/>
      <c r="P25" s="356"/>
      <c r="Q25" s="356"/>
      <c r="R25" s="356"/>
      <c r="S25" s="356"/>
      <c r="T25" s="356" t="s">
        <v>32</v>
      </c>
      <c r="U25" s="356"/>
      <c r="V25" s="356"/>
      <c r="W25" s="356"/>
      <c r="X25" s="356"/>
      <c r="Y25" s="356"/>
      <c r="Z25" s="356"/>
      <c r="AA25" s="356"/>
      <c r="AB25" s="356"/>
      <c r="AC25" s="356"/>
      <c r="AD25" s="356"/>
      <c r="AE25" s="356"/>
      <c r="AF25" s="356"/>
      <c r="AG25" s="356"/>
      <c r="AH25" s="356"/>
      <c r="AI25" s="357"/>
      <c r="AJ25" s="329"/>
      <c r="AL25" s="358">
        <f t="shared" si="11"/>
        <v>3000</v>
      </c>
      <c r="AM25" s="359" t="str">
        <f t="shared" si="12"/>
        <v/>
      </c>
      <c r="AN25" s="359" t="str">
        <f t="shared" si="13"/>
        <v/>
      </c>
      <c r="AO25" s="359" t="str">
        <f t="shared" si="14"/>
        <v/>
      </c>
      <c r="AP25" s="359" t="str">
        <f t="shared" si="15"/>
        <v/>
      </c>
      <c r="AQ25" s="359" t="str">
        <f t="shared" si="16"/>
        <v/>
      </c>
      <c r="AR25" s="359" t="str">
        <f t="shared" si="17"/>
        <v/>
      </c>
      <c r="AS25" s="359" t="str">
        <f t="shared" si="18"/>
        <v/>
      </c>
      <c r="AT25" s="359" t="str">
        <f t="shared" si="19"/>
        <v/>
      </c>
      <c r="AU25" s="359" t="str">
        <f t="shared" si="20"/>
        <v/>
      </c>
      <c r="AV25" s="359" t="str">
        <f t="shared" si="21"/>
        <v/>
      </c>
      <c r="AW25" s="359" t="str">
        <f t="shared" si="22"/>
        <v/>
      </c>
      <c r="AX25" s="359" t="str">
        <f t="shared" si="23"/>
        <v/>
      </c>
      <c r="AY25" s="359" t="str">
        <f t="shared" si="24"/>
        <v/>
      </c>
      <c r="AZ25" s="359" t="str">
        <f t="shared" si="25"/>
        <v/>
      </c>
      <c r="BA25" s="359" t="str">
        <f t="shared" si="26"/>
        <v/>
      </c>
      <c r="BB25" s="359" t="str">
        <f t="shared" si="27"/>
        <v/>
      </c>
      <c r="BC25" s="359" t="str">
        <f t="shared" si="28"/>
        <v/>
      </c>
      <c r="BD25" s="359" t="str">
        <f t="shared" si="29"/>
        <v/>
      </c>
      <c r="BE25" s="359" t="str">
        <f t="shared" si="30"/>
        <v/>
      </c>
      <c r="BF25" s="359" t="str">
        <f t="shared" si="31"/>
        <v/>
      </c>
      <c r="BG25" s="359" t="str">
        <f t="shared" si="32"/>
        <v/>
      </c>
      <c r="BH25" s="359" t="str">
        <f t="shared" si="33"/>
        <v/>
      </c>
      <c r="BI25" s="359" t="str">
        <f t="shared" si="34"/>
        <v/>
      </c>
      <c r="BJ25" s="359" t="str">
        <f t="shared" si="35"/>
        <v/>
      </c>
      <c r="BK25" s="359" t="str">
        <f t="shared" si="36"/>
        <v/>
      </c>
      <c r="BL25" s="359" t="str">
        <f t="shared" si="37"/>
        <v/>
      </c>
      <c r="BM25" s="359" t="str">
        <f t="shared" si="38"/>
        <v/>
      </c>
      <c r="BN25" s="359" t="str">
        <f t="shared" si="39"/>
        <v/>
      </c>
      <c r="BO25" s="359" t="str">
        <f t="shared" si="40"/>
        <v/>
      </c>
      <c r="BP25" s="360" t="str">
        <f t="shared" si="41"/>
        <v/>
      </c>
    </row>
    <row r="26" spans="1:68" x14ac:dyDescent="0.3">
      <c r="A26" s="361" t="s">
        <v>47</v>
      </c>
      <c r="B26" s="362">
        <f>SUM(B14:B25)</f>
        <v>136850</v>
      </c>
      <c r="C26" s="363"/>
      <c r="D26" s="364">
        <f>SUM(D14:D25)</f>
        <v>9170</v>
      </c>
      <c r="E26" s="329"/>
      <c r="F26" s="329"/>
      <c r="G26" s="329"/>
      <c r="H26" s="329"/>
      <c r="I26" s="329"/>
      <c r="J26" s="329"/>
      <c r="K26" s="329"/>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L26" s="349"/>
      <c r="AM26" s="316"/>
      <c r="AN26" s="316"/>
      <c r="AO26" s="316"/>
      <c r="AP26" s="316"/>
      <c r="AQ26" s="316"/>
      <c r="AR26" s="316"/>
      <c r="AS26" s="316"/>
      <c r="AT26" s="316"/>
      <c r="AU26" s="316"/>
      <c r="AV26" s="316"/>
      <c r="AW26" s="316"/>
      <c r="AX26" s="316"/>
      <c r="AY26" s="316"/>
      <c r="AZ26" s="316"/>
      <c r="BA26" s="316"/>
      <c r="BB26" s="316"/>
      <c r="BC26" s="316"/>
      <c r="BD26" s="316"/>
      <c r="BE26" s="316"/>
      <c r="BF26" s="316"/>
      <c r="BG26" s="316"/>
      <c r="BH26" s="316"/>
      <c r="BI26" s="316"/>
      <c r="BJ26" s="316"/>
      <c r="BK26" s="316"/>
      <c r="BL26" s="316"/>
      <c r="BM26" s="316"/>
      <c r="BN26" s="316"/>
      <c r="BO26" s="316"/>
      <c r="BP26" s="350"/>
    </row>
    <row r="27" spans="1:68" x14ac:dyDescent="0.3">
      <c r="B27" s="29"/>
      <c r="C27" s="29"/>
      <c r="D27" s="29"/>
      <c r="E27" s="329"/>
      <c r="F27" s="329"/>
      <c r="G27" s="329"/>
      <c r="H27" s="329"/>
      <c r="I27" s="329"/>
      <c r="J27" s="329"/>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L27" s="349"/>
      <c r="AM27" s="316"/>
      <c r="AN27" s="316"/>
      <c r="AO27" s="316"/>
      <c r="AP27" s="316"/>
      <c r="AQ27" s="316"/>
      <c r="AR27" s="316"/>
      <c r="AS27" s="316"/>
      <c r="AT27" s="316"/>
      <c r="AU27" s="316"/>
      <c r="AV27" s="316"/>
      <c r="AW27" s="316"/>
      <c r="AX27" s="316"/>
      <c r="AY27" s="316"/>
      <c r="AZ27" s="316"/>
      <c r="BA27" s="316"/>
      <c r="BB27" s="316"/>
      <c r="BC27" s="316"/>
      <c r="BD27" s="316"/>
      <c r="BE27" s="316"/>
      <c r="BF27" s="316"/>
      <c r="BG27" s="316"/>
      <c r="BH27" s="316"/>
      <c r="BI27" s="316"/>
      <c r="BJ27" s="316"/>
      <c r="BK27" s="316"/>
      <c r="BL27" s="316"/>
      <c r="BM27" s="316"/>
      <c r="BN27" s="316"/>
      <c r="BO27" s="316"/>
      <c r="BP27" s="350"/>
    </row>
    <row r="28" spans="1:68" x14ac:dyDescent="0.3">
      <c r="A28" s="51" t="s">
        <v>65</v>
      </c>
      <c r="B28" s="293"/>
      <c r="C28" s="367"/>
      <c r="D28" s="368"/>
      <c r="E28" s="327"/>
      <c r="F28" s="327"/>
      <c r="G28" s="327"/>
      <c r="H28" s="327"/>
      <c r="I28" s="327"/>
      <c r="J28" s="327"/>
      <c r="K28" s="327"/>
      <c r="L28" s="327"/>
      <c r="M28" s="327"/>
      <c r="N28" s="327"/>
      <c r="O28" s="327"/>
      <c r="P28" s="327"/>
      <c r="Q28" s="327"/>
      <c r="R28" s="327"/>
      <c r="S28" s="327"/>
      <c r="T28" s="327"/>
      <c r="U28" s="327"/>
      <c r="V28" s="327"/>
      <c r="W28" s="327"/>
      <c r="X28" s="327"/>
      <c r="Y28" s="327"/>
      <c r="Z28" s="327"/>
      <c r="AA28" s="327"/>
      <c r="AB28" s="327"/>
      <c r="AC28" s="327"/>
      <c r="AD28" s="327"/>
      <c r="AE28" s="327"/>
      <c r="AF28" s="327"/>
      <c r="AG28" s="327"/>
      <c r="AH28" s="327"/>
      <c r="AI28" s="328"/>
      <c r="AJ28" s="329"/>
      <c r="AL28" s="330"/>
      <c r="AM28" s="331"/>
      <c r="AN28" s="331"/>
      <c r="AO28" s="331"/>
      <c r="AP28" s="331"/>
      <c r="AQ28" s="331"/>
      <c r="AR28" s="331"/>
      <c r="AS28" s="331"/>
      <c r="AT28" s="331"/>
      <c r="AU28" s="331"/>
      <c r="AV28" s="331"/>
      <c r="AW28" s="331"/>
      <c r="AX28" s="331"/>
      <c r="AY28" s="331"/>
      <c r="AZ28" s="331"/>
      <c r="BA28" s="331"/>
      <c r="BB28" s="331"/>
      <c r="BC28" s="331"/>
      <c r="BD28" s="331"/>
      <c r="BE28" s="331"/>
      <c r="BF28" s="331"/>
      <c r="BG28" s="331"/>
      <c r="BH28" s="331"/>
      <c r="BI28" s="331"/>
      <c r="BJ28" s="331"/>
      <c r="BK28" s="331"/>
      <c r="BL28" s="331"/>
      <c r="BM28" s="331"/>
      <c r="BN28" s="331"/>
      <c r="BO28" s="331"/>
      <c r="BP28" s="332"/>
    </row>
    <row r="29" spans="1:68" x14ac:dyDescent="0.3">
      <c r="A29" s="369" t="s">
        <v>165</v>
      </c>
      <c r="B29" s="334">
        <v>2600</v>
      </c>
      <c r="C29" s="448">
        <v>0</v>
      </c>
      <c r="D29" s="370">
        <f t="shared" ref="D29:D35" si="42">C29*B29</f>
        <v>0</v>
      </c>
      <c r="E29" s="338" t="s">
        <v>145</v>
      </c>
      <c r="F29" s="338" t="s">
        <v>32</v>
      </c>
      <c r="G29" s="338"/>
      <c r="H29" s="338" t="s">
        <v>32</v>
      </c>
      <c r="I29" s="338"/>
      <c r="J29" s="338"/>
      <c r="K29" s="338" t="s">
        <v>32</v>
      </c>
      <c r="L29" s="338"/>
      <c r="M29" s="338"/>
      <c r="N29" s="338"/>
      <c r="O29" s="338"/>
      <c r="P29" s="338" t="s">
        <v>32</v>
      </c>
      <c r="Q29" s="338"/>
      <c r="R29" s="338"/>
      <c r="S29" s="338"/>
      <c r="T29" s="338"/>
      <c r="U29" s="338" t="s">
        <v>32</v>
      </c>
      <c r="V29" s="338"/>
      <c r="W29" s="338" t="s">
        <v>32</v>
      </c>
      <c r="X29" s="338"/>
      <c r="Y29" s="338"/>
      <c r="Z29" s="338"/>
      <c r="AA29" s="338"/>
      <c r="AB29" s="338"/>
      <c r="AC29" s="338"/>
      <c r="AD29" s="338"/>
      <c r="AE29" s="338"/>
      <c r="AF29" s="338"/>
      <c r="AG29" s="338"/>
      <c r="AH29" s="338"/>
      <c r="AI29" s="339"/>
      <c r="AJ29" s="329"/>
      <c r="AL29" s="340">
        <f t="shared" ref="AL29:AU35" si="43">IF(E29="p",$B29,IF(E29="r",$B29-$D29,""))</f>
        <v>2600</v>
      </c>
      <c r="AM29" s="341" t="str">
        <f t="shared" si="43"/>
        <v/>
      </c>
      <c r="AN29" s="341" t="str">
        <f t="shared" si="43"/>
        <v/>
      </c>
      <c r="AO29" s="341" t="str">
        <f t="shared" si="43"/>
        <v/>
      </c>
      <c r="AP29" s="341" t="str">
        <f t="shared" si="43"/>
        <v/>
      </c>
      <c r="AQ29" s="341" t="str">
        <f t="shared" si="43"/>
        <v/>
      </c>
      <c r="AR29" s="341" t="str">
        <f t="shared" si="43"/>
        <v/>
      </c>
      <c r="AS29" s="341" t="str">
        <f t="shared" si="43"/>
        <v/>
      </c>
      <c r="AT29" s="341" t="str">
        <f t="shared" si="43"/>
        <v/>
      </c>
      <c r="AU29" s="341" t="str">
        <f t="shared" si="43"/>
        <v/>
      </c>
      <c r="AV29" s="341" t="str">
        <f t="shared" ref="AV29:BE35" si="44">IF(O29="p",$B29,IF(O29="r",$B29-$D29,""))</f>
        <v/>
      </c>
      <c r="AW29" s="341" t="str">
        <f t="shared" si="44"/>
        <v/>
      </c>
      <c r="AX29" s="341" t="str">
        <f t="shared" si="44"/>
        <v/>
      </c>
      <c r="AY29" s="341" t="str">
        <f t="shared" si="44"/>
        <v/>
      </c>
      <c r="AZ29" s="341" t="str">
        <f t="shared" si="44"/>
        <v/>
      </c>
      <c r="BA29" s="341" t="str">
        <f t="shared" si="44"/>
        <v/>
      </c>
      <c r="BB29" s="341" t="str">
        <f t="shared" si="44"/>
        <v/>
      </c>
      <c r="BC29" s="341" t="str">
        <f t="shared" si="44"/>
        <v/>
      </c>
      <c r="BD29" s="341" t="str">
        <f t="shared" si="44"/>
        <v/>
      </c>
      <c r="BE29" s="341" t="str">
        <f t="shared" si="44"/>
        <v/>
      </c>
      <c r="BF29" s="341" t="str">
        <f t="shared" ref="BF29:BO35" si="45">IF(Y29="p",$B29,IF(Y29="r",$B29-$D29,""))</f>
        <v/>
      </c>
      <c r="BG29" s="341" t="str">
        <f t="shared" si="45"/>
        <v/>
      </c>
      <c r="BH29" s="341" t="str">
        <f t="shared" si="45"/>
        <v/>
      </c>
      <c r="BI29" s="341" t="str">
        <f t="shared" si="45"/>
        <v/>
      </c>
      <c r="BJ29" s="341" t="str">
        <f t="shared" si="45"/>
        <v/>
      </c>
      <c r="BK29" s="341" t="str">
        <f t="shared" si="45"/>
        <v/>
      </c>
      <c r="BL29" s="341" t="str">
        <f t="shared" si="45"/>
        <v/>
      </c>
      <c r="BM29" s="341" t="str">
        <f t="shared" si="45"/>
        <v/>
      </c>
      <c r="BN29" s="341" t="str">
        <f t="shared" si="45"/>
        <v/>
      </c>
      <c r="BO29" s="341" t="str">
        <f t="shared" si="45"/>
        <v/>
      </c>
      <c r="BP29" s="342" t="str">
        <f t="shared" ref="BP29:BP35" si="46">IF(AI29="p",$B29,IF(AI29="r",$B29-$D29,""))</f>
        <v/>
      </c>
    </row>
    <row r="30" spans="1:68" x14ac:dyDescent="0.3">
      <c r="A30" s="343" t="s">
        <v>166</v>
      </c>
      <c r="B30" s="344">
        <v>1000</v>
      </c>
      <c r="C30" s="447">
        <v>0</v>
      </c>
      <c r="D30" s="371">
        <f t="shared" si="42"/>
        <v>0</v>
      </c>
      <c r="E30" s="347"/>
      <c r="F30" s="347" t="s">
        <v>145</v>
      </c>
      <c r="G30" s="347"/>
      <c r="H30" s="347" t="s">
        <v>32</v>
      </c>
      <c r="I30" s="347" t="s">
        <v>146</v>
      </c>
      <c r="J30" s="347" t="s">
        <v>32</v>
      </c>
      <c r="K30" s="347" t="s">
        <v>32</v>
      </c>
      <c r="L30" s="347" t="s">
        <v>146</v>
      </c>
      <c r="M30" s="347"/>
      <c r="N30" s="347"/>
      <c r="O30" s="347" t="s">
        <v>146</v>
      </c>
      <c r="P30" s="347" t="s">
        <v>32</v>
      </c>
      <c r="Q30" s="347" t="s">
        <v>32</v>
      </c>
      <c r="R30" s="347" t="s">
        <v>146</v>
      </c>
      <c r="S30" s="347"/>
      <c r="T30" s="347"/>
      <c r="U30" s="347" t="s">
        <v>146</v>
      </c>
      <c r="V30" s="347"/>
      <c r="W30" s="347" t="s">
        <v>32</v>
      </c>
      <c r="X30" s="347" t="s">
        <v>146</v>
      </c>
      <c r="Y30" s="347"/>
      <c r="Z30" s="347"/>
      <c r="AA30" s="347" t="s">
        <v>146</v>
      </c>
      <c r="AB30" s="347"/>
      <c r="AC30" s="347"/>
      <c r="AD30" s="347" t="s">
        <v>146</v>
      </c>
      <c r="AE30" s="347"/>
      <c r="AF30" s="347"/>
      <c r="AG30" s="347" t="s">
        <v>146</v>
      </c>
      <c r="AH30" s="347"/>
      <c r="AI30" s="348"/>
      <c r="AJ30" s="329"/>
      <c r="AL30" s="349" t="str">
        <f t="shared" si="43"/>
        <v/>
      </c>
      <c r="AM30" s="316">
        <f t="shared" si="43"/>
        <v>1000</v>
      </c>
      <c r="AN30" s="316" t="str">
        <f t="shared" si="43"/>
        <v/>
      </c>
      <c r="AO30" s="316" t="str">
        <f t="shared" si="43"/>
        <v/>
      </c>
      <c r="AP30" s="316">
        <f t="shared" si="43"/>
        <v>1000</v>
      </c>
      <c r="AQ30" s="316" t="str">
        <f t="shared" si="43"/>
        <v/>
      </c>
      <c r="AR30" s="316" t="str">
        <f t="shared" si="43"/>
        <v/>
      </c>
      <c r="AS30" s="316">
        <f t="shared" si="43"/>
        <v>1000</v>
      </c>
      <c r="AT30" s="316" t="str">
        <f t="shared" si="43"/>
        <v/>
      </c>
      <c r="AU30" s="316" t="str">
        <f t="shared" si="43"/>
        <v/>
      </c>
      <c r="AV30" s="316">
        <f t="shared" si="44"/>
        <v>1000</v>
      </c>
      <c r="AW30" s="316" t="str">
        <f t="shared" si="44"/>
        <v/>
      </c>
      <c r="AX30" s="316" t="str">
        <f t="shared" si="44"/>
        <v/>
      </c>
      <c r="AY30" s="316">
        <f t="shared" si="44"/>
        <v>1000</v>
      </c>
      <c r="AZ30" s="316" t="str">
        <f t="shared" si="44"/>
        <v/>
      </c>
      <c r="BA30" s="316" t="str">
        <f t="shared" si="44"/>
        <v/>
      </c>
      <c r="BB30" s="316">
        <f t="shared" si="44"/>
        <v>1000</v>
      </c>
      <c r="BC30" s="316" t="str">
        <f t="shared" si="44"/>
        <v/>
      </c>
      <c r="BD30" s="316" t="str">
        <f t="shared" si="44"/>
        <v/>
      </c>
      <c r="BE30" s="316">
        <f t="shared" si="44"/>
        <v>1000</v>
      </c>
      <c r="BF30" s="316" t="str">
        <f t="shared" si="45"/>
        <v/>
      </c>
      <c r="BG30" s="316" t="str">
        <f t="shared" si="45"/>
        <v/>
      </c>
      <c r="BH30" s="316">
        <f t="shared" si="45"/>
        <v>1000</v>
      </c>
      <c r="BI30" s="316" t="str">
        <f t="shared" si="45"/>
        <v/>
      </c>
      <c r="BJ30" s="316" t="str">
        <f t="shared" si="45"/>
        <v/>
      </c>
      <c r="BK30" s="316">
        <f t="shared" si="45"/>
        <v>1000</v>
      </c>
      <c r="BL30" s="316" t="str">
        <f t="shared" si="45"/>
        <v/>
      </c>
      <c r="BM30" s="316" t="str">
        <f t="shared" si="45"/>
        <v/>
      </c>
      <c r="BN30" s="316">
        <f t="shared" si="45"/>
        <v>1000</v>
      </c>
      <c r="BO30" s="316" t="str">
        <f t="shared" si="45"/>
        <v/>
      </c>
      <c r="BP30" s="350" t="str">
        <f t="shared" si="46"/>
        <v/>
      </c>
    </row>
    <row r="31" spans="1:68" x14ac:dyDescent="0.3">
      <c r="A31" s="343" t="s">
        <v>167</v>
      </c>
      <c r="B31" s="344">
        <v>150</v>
      </c>
      <c r="C31" s="447">
        <v>0</v>
      </c>
      <c r="D31" s="371">
        <f t="shared" si="42"/>
        <v>0</v>
      </c>
      <c r="E31" s="347" t="s">
        <v>145</v>
      </c>
      <c r="F31" s="347"/>
      <c r="G31" s="347"/>
      <c r="H31" s="347"/>
      <c r="I31" s="347"/>
      <c r="J31" s="347"/>
      <c r="K31" s="347"/>
      <c r="L31" s="347"/>
      <c r="M31" s="347"/>
      <c r="N31" s="347"/>
      <c r="O31" s="347"/>
      <c r="P31" s="347"/>
      <c r="Q31" s="347"/>
      <c r="R31" s="347"/>
      <c r="S31" s="347"/>
      <c r="T31" s="347"/>
      <c r="U31" s="347"/>
      <c r="V31" s="347"/>
      <c r="W31" s="347"/>
      <c r="X31" s="347"/>
      <c r="Y31" s="347"/>
      <c r="Z31" s="347"/>
      <c r="AA31" s="347"/>
      <c r="AB31" s="347"/>
      <c r="AC31" s="347"/>
      <c r="AD31" s="347"/>
      <c r="AE31" s="347"/>
      <c r="AF31" s="347"/>
      <c r="AG31" s="347"/>
      <c r="AH31" s="347"/>
      <c r="AI31" s="348"/>
      <c r="AJ31" s="329"/>
      <c r="AL31" s="349">
        <f t="shared" si="43"/>
        <v>150</v>
      </c>
      <c r="AM31" s="316" t="str">
        <f t="shared" si="43"/>
        <v/>
      </c>
      <c r="AN31" s="316" t="str">
        <f t="shared" si="43"/>
        <v/>
      </c>
      <c r="AO31" s="316" t="str">
        <f t="shared" si="43"/>
        <v/>
      </c>
      <c r="AP31" s="316" t="str">
        <f t="shared" si="43"/>
        <v/>
      </c>
      <c r="AQ31" s="316" t="str">
        <f t="shared" si="43"/>
        <v/>
      </c>
      <c r="AR31" s="316" t="str">
        <f t="shared" si="43"/>
        <v/>
      </c>
      <c r="AS31" s="316" t="str">
        <f t="shared" si="43"/>
        <v/>
      </c>
      <c r="AT31" s="316" t="str">
        <f t="shared" si="43"/>
        <v/>
      </c>
      <c r="AU31" s="316" t="str">
        <f t="shared" si="43"/>
        <v/>
      </c>
      <c r="AV31" s="316" t="str">
        <f t="shared" si="44"/>
        <v/>
      </c>
      <c r="AW31" s="316" t="str">
        <f t="shared" si="44"/>
        <v/>
      </c>
      <c r="AX31" s="316" t="str">
        <f t="shared" si="44"/>
        <v/>
      </c>
      <c r="AY31" s="316" t="str">
        <f t="shared" si="44"/>
        <v/>
      </c>
      <c r="AZ31" s="316" t="str">
        <f t="shared" si="44"/>
        <v/>
      </c>
      <c r="BA31" s="316" t="str">
        <f t="shared" si="44"/>
        <v/>
      </c>
      <c r="BB31" s="316" t="str">
        <f t="shared" si="44"/>
        <v/>
      </c>
      <c r="BC31" s="316" t="str">
        <f t="shared" si="44"/>
        <v/>
      </c>
      <c r="BD31" s="316" t="str">
        <f t="shared" si="44"/>
        <v/>
      </c>
      <c r="BE31" s="316" t="str">
        <f t="shared" si="44"/>
        <v/>
      </c>
      <c r="BF31" s="316" t="str">
        <f t="shared" si="45"/>
        <v/>
      </c>
      <c r="BG31" s="316" t="str">
        <f t="shared" si="45"/>
        <v/>
      </c>
      <c r="BH31" s="316" t="str">
        <f t="shared" si="45"/>
        <v/>
      </c>
      <c r="BI31" s="316" t="str">
        <f t="shared" si="45"/>
        <v/>
      </c>
      <c r="BJ31" s="316" t="str">
        <f t="shared" si="45"/>
        <v/>
      </c>
      <c r="BK31" s="316" t="str">
        <f t="shared" si="45"/>
        <v/>
      </c>
      <c r="BL31" s="316" t="str">
        <f t="shared" si="45"/>
        <v/>
      </c>
      <c r="BM31" s="316" t="str">
        <f t="shared" si="45"/>
        <v/>
      </c>
      <c r="BN31" s="316" t="str">
        <f t="shared" si="45"/>
        <v/>
      </c>
      <c r="BO31" s="316" t="str">
        <f t="shared" si="45"/>
        <v/>
      </c>
      <c r="BP31" s="350" t="str">
        <f t="shared" si="46"/>
        <v/>
      </c>
    </row>
    <row r="32" spans="1:68" x14ac:dyDescent="0.3">
      <c r="A32" s="343" t="s">
        <v>168</v>
      </c>
      <c r="B32" s="344">
        <v>26000</v>
      </c>
      <c r="C32" s="447">
        <v>0</v>
      </c>
      <c r="D32" s="371">
        <f t="shared" si="42"/>
        <v>0</v>
      </c>
      <c r="E32" s="347" t="s">
        <v>145</v>
      </c>
      <c r="F32" s="347" t="s">
        <v>32</v>
      </c>
      <c r="G32" s="347"/>
      <c r="H32" s="347"/>
      <c r="I32" s="347"/>
      <c r="J32" s="347"/>
      <c r="K32" s="347" t="s">
        <v>32</v>
      </c>
      <c r="L32" s="347"/>
      <c r="M32" s="347"/>
      <c r="N32" s="347"/>
      <c r="O32" s="347"/>
      <c r="P32" s="347" t="s">
        <v>32</v>
      </c>
      <c r="Q32" s="347"/>
      <c r="R32" s="347"/>
      <c r="S32" s="347"/>
      <c r="T32" s="347"/>
      <c r="U32" s="347" t="s">
        <v>32</v>
      </c>
      <c r="V32" s="347"/>
      <c r="W32" s="347"/>
      <c r="X32" s="347"/>
      <c r="Y32" s="347"/>
      <c r="Z32" s="347"/>
      <c r="AA32" s="347"/>
      <c r="AB32" s="347"/>
      <c r="AC32" s="347"/>
      <c r="AD32" s="347"/>
      <c r="AE32" s="347"/>
      <c r="AF32" s="347"/>
      <c r="AG32" s="347"/>
      <c r="AH32" s="347"/>
      <c r="AI32" s="348"/>
      <c r="AJ32" s="329"/>
      <c r="AL32" s="349">
        <f t="shared" si="43"/>
        <v>26000</v>
      </c>
      <c r="AM32" s="316" t="str">
        <f t="shared" si="43"/>
        <v/>
      </c>
      <c r="AN32" s="316" t="str">
        <f t="shared" si="43"/>
        <v/>
      </c>
      <c r="AO32" s="316" t="str">
        <f t="shared" si="43"/>
        <v/>
      </c>
      <c r="AP32" s="316" t="str">
        <f t="shared" si="43"/>
        <v/>
      </c>
      <c r="AQ32" s="316" t="str">
        <f t="shared" si="43"/>
        <v/>
      </c>
      <c r="AR32" s="316" t="str">
        <f t="shared" si="43"/>
        <v/>
      </c>
      <c r="AS32" s="316" t="str">
        <f t="shared" si="43"/>
        <v/>
      </c>
      <c r="AT32" s="316" t="str">
        <f t="shared" si="43"/>
        <v/>
      </c>
      <c r="AU32" s="316" t="str">
        <f t="shared" si="43"/>
        <v/>
      </c>
      <c r="AV32" s="316" t="str">
        <f t="shared" si="44"/>
        <v/>
      </c>
      <c r="AW32" s="316" t="str">
        <f t="shared" si="44"/>
        <v/>
      </c>
      <c r="AX32" s="316" t="str">
        <f t="shared" si="44"/>
        <v/>
      </c>
      <c r="AY32" s="316" t="str">
        <f t="shared" si="44"/>
        <v/>
      </c>
      <c r="AZ32" s="316" t="str">
        <f t="shared" si="44"/>
        <v/>
      </c>
      <c r="BA32" s="316" t="str">
        <f t="shared" si="44"/>
        <v/>
      </c>
      <c r="BB32" s="316" t="str">
        <f t="shared" si="44"/>
        <v/>
      </c>
      <c r="BC32" s="316" t="str">
        <f t="shared" si="44"/>
        <v/>
      </c>
      <c r="BD32" s="316" t="str">
        <f t="shared" si="44"/>
        <v/>
      </c>
      <c r="BE32" s="316" t="str">
        <f t="shared" si="44"/>
        <v/>
      </c>
      <c r="BF32" s="316" t="str">
        <f t="shared" si="45"/>
        <v/>
      </c>
      <c r="BG32" s="316" t="str">
        <f t="shared" si="45"/>
        <v/>
      </c>
      <c r="BH32" s="316" t="str">
        <f t="shared" si="45"/>
        <v/>
      </c>
      <c r="BI32" s="316" t="str">
        <f t="shared" si="45"/>
        <v/>
      </c>
      <c r="BJ32" s="316" t="str">
        <f t="shared" si="45"/>
        <v/>
      </c>
      <c r="BK32" s="316" t="str">
        <f t="shared" si="45"/>
        <v/>
      </c>
      <c r="BL32" s="316" t="str">
        <f t="shared" si="45"/>
        <v/>
      </c>
      <c r="BM32" s="316" t="str">
        <f t="shared" si="45"/>
        <v/>
      </c>
      <c r="BN32" s="316" t="str">
        <f t="shared" si="45"/>
        <v/>
      </c>
      <c r="BO32" s="316" t="str">
        <f t="shared" si="45"/>
        <v/>
      </c>
      <c r="BP32" s="350" t="str">
        <f t="shared" si="46"/>
        <v/>
      </c>
    </row>
    <row r="33" spans="1:68" x14ac:dyDescent="0.3">
      <c r="A33" s="343" t="s">
        <v>169</v>
      </c>
      <c r="B33" s="344">
        <v>21340</v>
      </c>
      <c r="C33" s="447">
        <v>0</v>
      </c>
      <c r="D33" s="371">
        <f t="shared" si="42"/>
        <v>0</v>
      </c>
      <c r="E33" s="347" t="s">
        <v>145</v>
      </c>
      <c r="F33" s="347" t="s">
        <v>32</v>
      </c>
      <c r="G33" s="347"/>
      <c r="H33" s="347"/>
      <c r="I33" s="347"/>
      <c r="J33" s="347"/>
      <c r="K33" s="347" t="s">
        <v>32</v>
      </c>
      <c r="L33" s="347"/>
      <c r="M33" s="347"/>
      <c r="N33" s="347"/>
      <c r="O33" s="347"/>
      <c r="P33" s="347" t="s">
        <v>32</v>
      </c>
      <c r="Q33" s="347"/>
      <c r="R33" s="347"/>
      <c r="S33" s="347"/>
      <c r="T33" s="347"/>
      <c r="U33" s="347" t="s">
        <v>32</v>
      </c>
      <c r="V33" s="347"/>
      <c r="W33" s="347"/>
      <c r="X33" s="347"/>
      <c r="Y33" s="347"/>
      <c r="Z33" s="347"/>
      <c r="AA33" s="347"/>
      <c r="AB33" s="347"/>
      <c r="AC33" s="347"/>
      <c r="AD33" s="347"/>
      <c r="AE33" s="347"/>
      <c r="AF33" s="347"/>
      <c r="AG33" s="347"/>
      <c r="AH33" s="347"/>
      <c r="AI33" s="348"/>
      <c r="AJ33" s="329"/>
      <c r="AL33" s="349">
        <f t="shared" si="43"/>
        <v>21340</v>
      </c>
      <c r="AM33" s="316" t="str">
        <f t="shared" si="43"/>
        <v/>
      </c>
      <c r="AN33" s="316" t="str">
        <f t="shared" si="43"/>
        <v/>
      </c>
      <c r="AO33" s="316" t="str">
        <f t="shared" si="43"/>
        <v/>
      </c>
      <c r="AP33" s="316" t="str">
        <f t="shared" si="43"/>
        <v/>
      </c>
      <c r="AQ33" s="316" t="str">
        <f t="shared" si="43"/>
        <v/>
      </c>
      <c r="AR33" s="316" t="str">
        <f t="shared" si="43"/>
        <v/>
      </c>
      <c r="AS33" s="316" t="str">
        <f t="shared" si="43"/>
        <v/>
      </c>
      <c r="AT33" s="316" t="str">
        <f t="shared" si="43"/>
        <v/>
      </c>
      <c r="AU33" s="316" t="str">
        <f t="shared" si="43"/>
        <v/>
      </c>
      <c r="AV33" s="316" t="str">
        <f t="shared" si="44"/>
        <v/>
      </c>
      <c r="AW33" s="316" t="str">
        <f t="shared" si="44"/>
        <v/>
      </c>
      <c r="AX33" s="316" t="str">
        <f t="shared" si="44"/>
        <v/>
      </c>
      <c r="AY33" s="316" t="str">
        <f t="shared" si="44"/>
        <v/>
      </c>
      <c r="AZ33" s="316" t="str">
        <f t="shared" si="44"/>
        <v/>
      </c>
      <c r="BA33" s="316" t="str">
        <f t="shared" si="44"/>
        <v/>
      </c>
      <c r="BB33" s="316" t="str">
        <f t="shared" si="44"/>
        <v/>
      </c>
      <c r="BC33" s="316" t="str">
        <f t="shared" si="44"/>
        <v/>
      </c>
      <c r="BD33" s="316" t="str">
        <f t="shared" si="44"/>
        <v/>
      </c>
      <c r="BE33" s="316" t="str">
        <f t="shared" si="44"/>
        <v/>
      </c>
      <c r="BF33" s="316" t="str">
        <f t="shared" si="45"/>
        <v/>
      </c>
      <c r="BG33" s="316" t="str">
        <f t="shared" si="45"/>
        <v/>
      </c>
      <c r="BH33" s="316" t="str">
        <f t="shared" si="45"/>
        <v/>
      </c>
      <c r="BI33" s="316" t="str">
        <f t="shared" si="45"/>
        <v/>
      </c>
      <c r="BJ33" s="316" t="str">
        <f t="shared" si="45"/>
        <v/>
      </c>
      <c r="BK33" s="316" t="str">
        <f t="shared" si="45"/>
        <v/>
      </c>
      <c r="BL33" s="316" t="str">
        <f t="shared" si="45"/>
        <v/>
      </c>
      <c r="BM33" s="316" t="str">
        <f t="shared" si="45"/>
        <v/>
      </c>
      <c r="BN33" s="316" t="str">
        <f t="shared" si="45"/>
        <v/>
      </c>
      <c r="BO33" s="316" t="str">
        <f t="shared" si="45"/>
        <v/>
      </c>
      <c r="BP33" s="350" t="str">
        <f t="shared" si="46"/>
        <v/>
      </c>
    </row>
    <row r="34" spans="1:68" x14ac:dyDescent="0.3">
      <c r="A34" s="343" t="s">
        <v>170</v>
      </c>
      <c r="B34" s="344">
        <v>600</v>
      </c>
      <c r="C34" s="447">
        <v>0</v>
      </c>
      <c r="D34" s="371">
        <f t="shared" si="42"/>
        <v>0</v>
      </c>
      <c r="E34" s="347" t="s">
        <v>145</v>
      </c>
      <c r="F34" s="347" t="s">
        <v>32</v>
      </c>
      <c r="G34" s="347"/>
      <c r="H34" s="347"/>
      <c r="I34" s="347"/>
      <c r="J34" s="347"/>
      <c r="K34" s="347" t="s">
        <v>32</v>
      </c>
      <c r="L34" s="347"/>
      <c r="M34" s="347"/>
      <c r="N34" s="347"/>
      <c r="O34" s="347"/>
      <c r="P34" s="347" t="s">
        <v>32</v>
      </c>
      <c r="Q34" s="347"/>
      <c r="R34" s="347"/>
      <c r="S34" s="347"/>
      <c r="T34" s="347"/>
      <c r="U34" s="347" t="s">
        <v>32</v>
      </c>
      <c r="V34" s="347"/>
      <c r="W34" s="347"/>
      <c r="X34" s="347"/>
      <c r="Y34" s="347"/>
      <c r="Z34" s="347"/>
      <c r="AA34" s="347"/>
      <c r="AB34" s="347"/>
      <c r="AC34" s="347"/>
      <c r="AD34" s="347"/>
      <c r="AE34" s="347"/>
      <c r="AF34" s="347"/>
      <c r="AG34" s="347"/>
      <c r="AH34" s="347"/>
      <c r="AI34" s="348"/>
      <c r="AJ34" s="329"/>
      <c r="AL34" s="349">
        <f t="shared" si="43"/>
        <v>600</v>
      </c>
      <c r="AM34" s="316" t="str">
        <f t="shared" si="43"/>
        <v/>
      </c>
      <c r="AN34" s="316" t="str">
        <f t="shared" si="43"/>
        <v/>
      </c>
      <c r="AO34" s="316" t="str">
        <f t="shared" si="43"/>
        <v/>
      </c>
      <c r="AP34" s="316" t="str">
        <f t="shared" si="43"/>
        <v/>
      </c>
      <c r="AQ34" s="316" t="str">
        <f t="shared" si="43"/>
        <v/>
      </c>
      <c r="AR34" s="316" t="str">
        <f t="shared" si="43"/>
        <v/>
      </c>
      <c r="AS34" s="316" t="str">
        <f t="shared" si="43"/>
        <v/>
      </c>
      <c r="AT34" s="316" t="str">
        <f t="shared" si="43"/>
        <v/>
      </c>
      <c r="AU34" s="316" t="str">
        <f t="shared" si="43"/>
        <v/>
      </c>
      <c r="AV34" s="316" t="str">
        <f t="shared" si="44"/>
        <v/>
      </c>
      <c r="AW34" s="316" t="str">
        <f t="shared" si="44"/>
        <v/>
      </c>
      <c r="AX34" s="316" t="str">
        <f t="shared" si="44"/>
        <v/>
      </c>
      <c r="AY34" s="316" t="str">
        <f t="shared" si="44"/>
        <v/>
      </c>
      <c r="AZ34" s="316" t="str">
        <f t="shared" si="44"/>
        <v/>
      </c>
      <c r="BA34" s="316" t="str">
        <f t="shared" si="44"/>
        <v/>
      </c>
      <c r="BB34" s="316" t="str">
        <f t="shared" si="44"/>
        <v/>
      </c>
      <c r="BC34" s="316" t="str">
        <f t="shared" si="44"/>
        <v/>
      </c>
      <c r="BD34" s="316" t="str">
        <f t="shared" si="44"/>
        <v/>
      </c>
      <c r="BE34" s="316" t="str">
        <f t="shared" si="44"/>
        <v/>
      </c>
      <c r="BF34" s="316" t="str">
        <f t="shared" si="45"/>
        <v/>
      </c>
      <c r="BG34" s="316" t="str">
        <f t="shared" si="45"/>
        <v/>
      </c>
      <c r="BH34" s="316" t="str">
        <f t="shared" si="45"/>
        <v/>
      </c>
      <c r="BI34" s="316" t="str">
        <f t="shared" si="45"/>
        <v/>
      </c>
      <c r="BJ34" s="316" t="str">
        <f t="shared" si="45"/>
        <v/>
      </c>
      <c r="BK34" s="316" t="str">
        <f t="shared" si="45"/>
        <v/>
      </c>
      <c r="BL34" s="316" t="str">
        <f t="shared" si="45"/>
        <v/>
      </c>
      <c r="BM34" s="316" t="str">
        <f t="shared" si="45"/>
        <v/>
      </c>
      <c r="BN34" s="316" t="str">
        <f t="shared" si="45"/>
        <v/>
      </c>
      <c r="BO34" s="316" t="str">
        <f t="shared" si="45"/>
        <v/>
      </c>
      <c r="BP34" s="350" t="str">
        <f t="shared" si="46"/>
        <v/>
      </c>
    </row>
    <row r="35" spans="1:68" x14ac:dyDescent="0.3">
      <c r="A35" s="372" t="s">
        <v>171</v>
      </c>
      <c r="B35" s="352">
        <v>4000</v>
      </c>
      <c r="C35" s="449">
        <v>0</v>
      </c>
      <c r="D35" s="373">
        <f t="shared" si="42"/>
        <v>0</v>
      </c>
      <c r="E35" s="356" t="s">
        <v>145</v>
      </c>
      <c r="F35" s="356" t="s">
        <v>32</v>
      </c>
      <c r="G35" s="356"/>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7"/>
      <c r="AJ35" s="329"/>
      <c r="AL35" s="358">
        <f t="shared" si="43"/>
        <v>4000</v>
      </c>
      <c r="AM35" s="359" t="str">
        <f t="shared" si="43"/>
        <v/>
      </c>
      <c r="AN35" s="359" t="str">
        <f t="shared" si="43"/>
        <v/>
      </c>
      <c r="AO35" s="359" t="str">
        <f t="shared" si="43"/>
        <v/>
      </c>
      <c r="AP35" s="359" t="str">
        <f t="shared" si="43"/>
        <v/>
      </c>
      <c r="AQ35" s="359" t="str">
        <f t="shared" si="43"/>
        <v/>
      </c>
      <c r="AR35" s="359" t="str">
        <f t="shared" si="43"/>
        <v/>
      </c>
      <c r="AS35" s="359" t="str">
        <f t="shared" si="43"/>
        <v/>
      </c>
      <c r="AT35" s="359" t="str">
        <f t="shared" si="43"/>
        <v/>
      </c>
      <c r="AU35" s="359" t="str">
        <f t="shared" si="43"/>
        <v/>
      </c>
      <c r="AV35" s="359" t="str">
        <f t="shared" si="44"/>
        <v/>
      </c>
      <c r="AW35" s="359" t="str">
        <f t="shared" si="44"/>
        <v/>
      </c>
      <c r="AX35" s="359" t="str">
        <f t="shared" si="44"/>
        <v/>
      </c>
      <c r="AY35" s="359" t="str">
        <f t="shared" si="44"/>
        <v/>
      </c>
      <c r="AZ35" s="359" t="str">
        <f t="shared" si="44"/>
        <v/>
      </c>
      <c r="BA35" s="359" t="str">
        <f t="shared" si="44"/>
        <v/>
      </c>
      <c r="BB35" s="359" t="str">
        <f t="shared" si="44"/>
        <v/>
      </c>
      <c r="BC35" s="359" t="str">
        <f t="shared" si="44"/>
        <v/>
      </c>
      <c r="BD35" s="359" t="str">
        <f t="shared" si="44"/>
        <v/>
      </c>
      <c r="BE35" s="359" t="str">
        <f t="shared" si="44"/>
        <v/>
      </c>
      <c r="BF35" s="359" t="str">
        <f t="shared" si="45"/>
        <v/>
      </c>
      <c r="BG35" s="359" t="str">
        <f t="shared" si="45"/>
        <v/>
      </c>
      <c r="BH35" s="359" t="str">
        <f t="shared" si="45"/>
        <v/>
      </c>
      <c r="BI35" s="359" t="str">
        <f t="shared" si="45"/>
        <v/>
      </c>
      <c r="BJ35" s="359" t="str">
        <f t="shared" si="45"/>
        <v/>
      </c>
      <c r="BK35" s="359" t="str">
        <f t="shared" si="45"/>
        <v/>
      </c>
      <c r="BL35" s="359" t="str">
        <f t="shared" si="45"/>
        <v/>
      </c>
      <c r="BM35" s="359" t="str">
        <f t="shared" si="45"/>
        <v/>
      </c>
      <c r="BN35" s="359" t="str">
        <f t="shared" si="45"/>
        <v/>
      </c>
      <c r="BO35" s="359" t="str">
        <f t="shared" si="45"/>
        <v/>
      </c>
      <c r="BP35" s="360" t="str">
        <f t="shared" si="46"/>
        <v/>
      </c>
    </row>
    <row r="36" spans="1:68" x14ac:dyDescent="0.3">
      <c r="A36" s="361" t="s">
        <v>47</v>
      </c>
      <c r="B36" s="354">
        <f>SUM(B29:B35)</f>
        <v>55690</v>
      </c>
      <c r="C36" s="363"/>
      <c r="D36" s="364">
        <f>SUM(D29:D35)</f>
        <v>0</v>
      </c>
      <c r="E36" s="329"/>
      <c r="F36" s="329"/>
      <c r="G36" s="329"/>
      <c r="H36" s="329"/>
      <c r="I36" s="329"/>
      <c r="J36" s="329"/>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329"/>
      <c r="AI36" s="329"/>
      <c r="AJ36" s="329"/>
      <c r="AL36" s="349"/>
      <c r="AM36" s="316"/>
      <c r="AN36" s="316"/>
      <c r="AO36" s="316"/>
      <c r="AP36" s="316"/>
      <c r="AQ36" s="316"/>
      <c r="AR36" s="316"/>
      <c r="AS36" s="316"/>
      <c r="AT36" s="316"/>
      <c r="AU36" s="316"/>
      <c r="AV36" s="316"/>
      <c r="AW36" s="316"/>
      <c r="AX36" s="316"/>
      <c r="AY36" s="316"/>
      <c r="AZ36" s="316"/>
      <c r="BA36" s="316"/>
      <c r="BB36" s="316"/>
      <c r="BC36" s="316"/>
      <c r="BD36" s="316"/>
      <c r="BE36" s="316"/>
      <c r="BF36" s="316"/>
      <c r="BG36" s="316"/>
      <c r="BH36" s="316"/>
      <c r="BI36" s="316"/>
      <c r="BJ36" s="316"/>
      <c r="BK36" s="316"/>
      <c r="BL36" s="316"/>
      <c r="BM36" s="316"/>
      <c r="BN36" s="316"/>
      <c r="BO36" s="316"/>
      <c r="BP36" s="350"/>
    </row>
    <row r="37" spans="1:68" x14ac:dyDescent="0.3">
      <c r="C37" s="366"/>
      <c r="D37" s="31"/>
      <c r="E37" s="329"/>
      <c r="F37" s="329"/>
      <c r="G37" s="329"/>
      <c r="H37" s="329"/>
      <c r="I37" s="329"/>
      <c r="J37" s="329"/>
      <c r="K37" s="329"/>
      <c r="L37" s="329"/>
      <c r="M37" s="329"/>
      <c r="N37" s="329"/>
      <c r="O37" s="329"/>
      <c r="P37" s="329"/>
      <c r="Q37" s="329"/>
      <c r="R37" s="329"/>
      <c r="S37" s="329"/>
      <c r="T37" s="329"/>
      <c r="U37" s="329"/>
      <c r="V37" s="329"/>
      <c r="W37" s="329"/>
      <c r="X37" s="329"/>
      <c r="Y37" s="329"/>
      <c r="Z37" s="329"/>
      <c r="AA37" s="329"/>
      <c r="AB37" s="329"/>
      <c r="AC37" s="329"/>
      <c r="AD37" s="329"/>
      <c r="AE37" s="329"/>
      <c r="AF37" s="329"/>
      <c r="AG37" s="329"/>
      <c r="AH37" s="329"/>
      <c r="AI37" s="329"/>
      <c r="AJ37" s="329"/>
      <c r="AL37" s="349"/>
      <c r="AM37" s="316"/>
      <c r="AN37" s="316"/>
      <c r="AO37" s="316"/>
      <c r="AP37" s="316"/>
      <c r="AQ37" s="316"/>
      <c r="AR37" s="316"/>
      <c r="AS37" s="316"/>
      <c r="AT37" s="316"/>
      <c r="AU37" s="316"/>
      <c r="AV37" s="316"/>
      <c r="AW37" s="316"/>
      <c r="AX37" s="316"/>
      <c r="AY37" s="316"/>
      <c r="AZ37" s="316"/>
      <c r="BA37" s="316"/>
      <c r="BB37" s="316"/>
      <c r="BC37" s="316"/>
      <c r="BD37" s="316"/>
      <c r="BE37" s="316"/>
      <c r="BF37" s="316"/>
      <c r="BG37" s="316"/>
      <c r="BH37" s="316"/>
      <c r="BI37" s="316"/>
      <c r="BJ37" s="316"/>
      <c r="BK37" s="316"/>
      <c r="BL37" s="316"/>
      <c r="BM37" s="316"/>
      <c r="BN37" s="316"/>
      <c r="BO37" s="316"/>
      <c r="BP37" s="350"/>
    </row>
    <row r="38" spans="1:68" x14ac:dyDescent="0.3">
      <c r="A38" s="51" t="s">
        <v>172</v>
      </c>
      <c r="B38" s="52"/>
      <c r="C38" s="367"/>
      <c r="D38" s="368"/>
      <c r="E38" s="327"/>
      <c r="F38" s="327"/>
      <c r="G38" s="327"/>
      <c r="H38" s="327"/>
      <c r="I38" s="327"/>
      <c r="J38" s="327"/>
      <c r="K38" s="327"/>
      <c r="L38" s="327"/>
      <c r="M38" s="327"/>
      <c r="N38" s="327"/>
      <c r="O38" s="327"/>
      <c r="P38" s="327"/>
      <c r="Q38" s="327"/>
      <c r="R38" s="327"/>
      <c r="S38" s="327"/>
      <c r="T38" s="327"/>
      <c r="U38" s="327"/>
      <c r="V38" s="327"/>
      <c r="W38" s="327"/>
      <c r="X38" s="327"/>
      <c r="Y38" s="327"/>
      <c r="Z38" s="327"/>
      <c r="AA38" s="327"/>
      <c r="AB38" s="327"/>
      <c r="AC38" s="327"/>
      <c r="AD38" s="327"/>
      <c r="AE38" s="327"/>
      <c r="AF38" s="327"/>
      <c r="AG38" s="327"/>
      <c r="AH38" s="327"/>
      <c r="AI38" s="328"/>
      <c r="AJ38" s="329"/>
      <c r="AL38" s="330"/>
      <c r="AM38" s="331"/>
      <c r="AN38" s="331"/>
      <c r="AO38" s="331"/>
      <c r="AP38" s="331"/>
      <c r="AQ38" s="331"/>
      <c r="AR38" s="331"/>
      <c r="AS38" s="331"/>
      <c r="AT38" s="331"/>
      <c r="AU38" s="331"/>
      <c r="AV38" s="331"/>
      <c r="AW38" s="331"/>
      <c r="AX38" s="331"/>
      <c r="AY38" s="331"/>
      <c r="AZ38" s="331"/>
      <c r="BA38" s="331"/>
      <c r="BB38" s="331"/>
      <c r="BC38" s="331"/>
      <c r="BD38" s="331"/>
      <c r="BE38" s="331"/>
      <c r="BF38" s="331"/>
      <c r="BG38" s="331"/>
      <c r="BH38" s="331"/>
      <c r="BI38" s="331"/>
      <c r="BJ38" s="331"/>
      <c r="BK38" s="331"/>
      <c r="BL38" s="331"/>
      <c r="BM38" s="331"/>
      <c r="BN38" s="331"/>
      <c r="BO38" s="331"/>
      <c r="BP38" s="332"/>
    </row>
    <row r="39" spans="1:68" x14ac:dyDescent="0.3">
      <c r="A39" s="369" t="s">
        <v>173</v>
      </c>
      <c r="B39" s="334">
        <v>56000</v>
      </c>
      <c r="C39" s="335">
        <v>0</v>
      </c>
      <c r="D39" s="370">
        <f t="shared" ref="D39:D44" si="47">C39*B39</f>
        <v>0</v>
      </c>
      <c r="E39" s="338" t="s">
        <v>145</v>
      </c>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9"/>
      <c r="AJ39" s="329"/>
      <c r="AL39" s="340">
        <f t="shared" ref="AL39:AU44" si="48">IF(E39="p",$B39,IF(E39="r",$B39-$D39,""))</f>
        <v>56000</v>
      </c>
      <c r="AM39" s="341" t="str">
        <f t="shared" si="48"/>
        <v/>
      </c>
      <c r="AN39" s="341" t="str">
        <f t="shared" si="48"/>
        <v/>
      </c>
      <c r="AO39" s="341" t="str">
        <f t="shared" si="48"/>
        <v/>
      </c>
      <c r="AP39" s="341" t="str">
        <f t="shared" si="48"/>
        <v/>
      </c>
      <c r="AQ39" s="341" t="str">
        <f t="shared" si="48"/>
        <v/>
      </c>
      <c r="AR39" s="341" t="str">
        <f t="shared" si="48"/>
        <v/>
      </c>
      <c r="AS39" s="341" t="str">
        <f t="shared" si="48"/>
        <v/>
      </c>
      <c r="AT39" s="341" t="str">
        <f t="shared" si="48"/>
        <v/>
      </c>
      <c r="AU39" s="341" t="str">
        <f t="shared" si="48"/>
        <v/>
      </c>
      <c r="AV39" s="341" t="str">
        <f t="shared" ref="AV39:BE44" si="49">IF(O39="p",$B39,IF(O39="r",$B39-$D39,""))</f>
        <v/>
      </c>
      <c r="AW39" s="341" t="str">
        <f t="shared" si="49"/>
        <v/>
      </c>
      <c r="AX39" s="341" t="str">
        <f t="shared" si="49"/>
        <v/>
      </c>
      <c r="AY39" s="341" t="str">
        <f t="shared" si="49"/>
        <v/>
      </c>
      <c r="AZ39" s="341" t="str">
        <f t="shared" si="49"/>
        <v/>
      </c>
      <c r="BA39" s="341" t="str">
        <f t="shared" si="49"/>
        <v/>
      </c>
      <c r="BB39" s="341" t="str">
        <f t="shared" si="49"/>
        <v/>
      </c>
      <c r="BC39" s="341" t="str">
        <f t="shared" si="49"/>
        <v/>
      </c>
      <c r="BD39" s="341" t="str">
        <f t="shared" si="49"/>
        <v/>
      </c>
      <c r="BE39" s="341" t="str">
        <f t="shared" si="49"/>
        <v/>
      </c>
      <c r="BF39" s="341" t="str">
        <f t="shared" ref="BF39:BO44" si="50">IF(Y39="p",$B39,IF(Y39="r",$B39-$D39,""))</f>
        <v/>
      </c>
      <c r="BG39" s="341" t="str">
        <f t="shared" si="50"/>
        <v/>
      </c>
      <c r="BH39" s="341" t="str">
        <f t="shared" si="50"/>
        <v/>
      </c>
      <c r="BI39" s="341" t="str">
        <f t="shared" si="50"/>
        <v/>
      </c>
      <c r="BJ39" s="341" t="str">
        <f t="shared" si="50"/>
        <v/>
      </c>
      <c r="BK39" s="341" t="str">
        <f t="shared" si="50"/>
        <v/>
      </c>
      <c r="BL39" s="341" t="str">
        <f t="shared" si="50"/>
        <v/>
      </c>
      <c r="BM39" s="341" t="str">
        <f t="shared" si="50"/>
        <v/>
      </c>
      <c r="BN39" s="341" t="str">
        <f t="shared" si="50"/>
        <v/>
      </c>
      <c r="BO39" s="341" t="str">
        <f t="shared" si="50"/>
        <v/>
      </c>
      <c r="BP39" s="342" t="str">
        <f t="shared" ref="BP39:BP44" si="51">IF(AI39="p",$B39,IF(AI39="r",$B39-$D39,""))</f>
        <v/>
      </c>
    </row>
    <row r="40" spans="1:68" x14ac:dyDescent="0.3">
      <c r="A40" s="343" t="s">
        <v>174</v>
      </c>
      <c r="B40" s="344">
        <v>10000</v>
      </c>
      <c r="C40" s="345">
        <v>0</v>
      </c>
      <c r="D40" s="371">
        <f t="shared" si="47"/>
        <v>0</v>
      </c>
      <c r="E40" s="347" t="s">
        <v>145</v>
      </c>
      <c r="F40" s="347"/>
      <c r="G40" s="347"/>
      <c r="H40" s="347"/>
      <c r="I40" s="347"/>
      <c r="J40" s="347"/>
      <c r="K40" s="347"/>
      <c r="L40" s="347"/>
      <c r="M40" s="347"/>
      <c r="N40" s="347"/>
      <c r="O40" s="347" t="s">
        <v>32</v>
      </c>
      <c r="P40" s="347"/>
      <c r="Q40" s="347"/>
      <c r="R40" s="347"/>
      <c r="S40" s="347"/>
      <c r="T40" s="347" t="s">
        <v>32</v>
      </c>
      <c r="U40" s="347"/>
      <c r="V40" s="347"/>
      <c r="W40" s="347"/>
      <c r="X40" s="347"/>
      <c r="Y40" s="347"/>
      <c r="Z40" s="347"/>
      <c r="AA40" s="347"/>
      <c r="AB40" s="347"/>
      <c r="AC40" s="347"/>
      <c r="AD40" s="347"/>
      <c r="AE40" s="347"/>
      <c r="AF40" s="347"/>
      <c r="AG40" s="347"/>
      <c r="AH40" s="347"/>
      <c r="AI40" s="348"/>
      <c r="AJ40" s="329"/>
      <c r="AL40" s="349">
        <f t="shared" si="48"/>
        <v>10000</v>
      </c>
      <c r="AM40" s="316" t="str">
        <f t="shared" si="48"/>
        <v/>
      </c>
      <c r="AN40" s="316" t="str">
        <f t="shared" si="48"/>
        <v/>
      </c>
      <c r="AO40" s="316" t="str">
        <f t="shared" si="48"/>
        <v/>
      </c>
      <c r="AP40" s="316" t="str">
        <f t="shared" si="48"/>
        <v/>
      </c>
      <c r="AQ40" s="316" t="str">
        <f t="shared" si="48"/>
        <v/>
      </c>
      <c r="AR40" s="316" t="str">
        <f t="shared" si="48"/>
        <v/>
      </c>
      <c r="AS40" s="316" t="str">
        <f t="shared" si="48"/>
        <v/>
      </c>
      <c r="AT40" s="316" t="str">
        <f t="shared" si="48"/>
        <v/>
      </c>
      <c r="AU40" s="316" t="str">
        <f t="shared" si="48"/>
        <v/>
      </c>
      <c r="AV40" s="316" t="str">
        <f t="shared" si="49"/>
        <v/>
      </c>
      <c r="AW40" s="316" t="str">
        <f t="shared" si="49"/>
        <v/>
      </c>
      <c r="AX40" s="316" t="str">
        <f t="shared" si="49"/>
        <v/>
      </c>
      <c r="AY40" s="316" t="str">
        <f t="shared" si="49"/>
        <v/>
      </c>
      <c r="AZ40" s="316" t="str">
        <f t="shared" si="49"/>
        <v/>
      </c>
      <c r="BA40" s="316" t="str">
        <f t="shared" si="49"/>
        <v/>
      </c>
      <c r="BB40" s="316" t="str">
        <f t="shared" si="49"/>
        <v/>
      </c>
      <c r="BC40" s="316" t="str">
        <f t="shared" si="49"/>
        <v/>
      </c>
      <c r="BD40" s="316" t="str">
        <f t="shared" si="49"/>
        <v/>
      </c>
      <c r="BE40" s="316" t="str">
        <f t="shared" si="49"/>
        <v/>
      </c>
      <c r="BF40" s="316" t="str">
        <f t="shared" si="50"/>
        <v/>
      </c>
      <c r="BG40" s="316" t="str">
        <f t="shared" si="50"/>
        <v/>
      </c>
      <c r="BH40" s="316" t="str">
        <f t="shared" si="50"/>
        <v/>
      </c>
      <c r="BI40" s="316" t="str">
        <f t="shared" si="50"/>
        <v/>
      </c>
      <c r="BJ40" s="316" t="str">
        <f t="shared" si="50"/>
        <v/>
      </c>
      <c r="BK40" s="316" t="str">
        <f t="shared" si="50"/>
        <v/>
      </c>
      <c r="BL40" s="316" t="str">
        <f t="shared" si="50"/>
        <v/>
      </c>
      <c r="BM40" s="316" t="str">
        <f t="shared" si="50"/>
        <v/>
      </c>
      <c r="BN40" s="316" t="str">
        <f t="shared" si="50"/>
        <v/>
      </c>
      <c r="BO40" s="316" t="str">
        <f t="shared" si="50"/>
        <v/>
      </c>
      <c r="BP40" s="350" t="str">
        <f t="shared" si="51"/>
        <v/>
      </c>
    </row>
    <row r="41" spans="1:68" x14ac:dyDescent="0.3">
      <c r="A41" s="343" t="s">
        <v>175</v>
      </c>
      <c r="B41" s="344">
        <v>6000</v>
      </c>
      <c r="C41" s="345">
        <v>0</v>
      </c>
      <c r="D41" s="371">
        <f t="shared" si="47"/>
        <v>0</v>
      </c>
      <c r="E41" s="347" t="s">
        <v>145</v>
      </c>
      <c r="F41" s="347"/>
      <c r="G41" s="347"/>
      <c r="H41" s="347"/>
      <c r="I41" s="347"/>
      <c r="J41" s="347"/>
      <c r="K41" s="347"/>
      <c r="L41" s="347"/>
      <c r="M41" s="347"/>
      <c r="N41" s="347"/>
      <c r="O41" s="347" t="s">
        <v>32</v>
      </c>
      <c r="P41" s="347"/>
      <c r="Q41" s="347"/>
      <c r="R41" s="347"/>
      <c r="S41" s="347"/>
      <c r="T41" s="347" t="s">
        <v>146</v>
      </c>
      <c r="U41" s="347"/>
      <c r="V41" s="347"/>
      <c r="W41" s="347"/>
      <c r="X41" s="347"/>
      <c r="Y41" s="347"/>
      <c r="Z41" s="347"/>
      <c r="AA41" s="347"/>
      <c r="AB41" s="347"/>
      <c r="AC41" s="347"/>
      <c r="AD41" s="347"/>
      <c r="AE41" s="347"/>
      <c r="AF41" s="347"/>
      <c r="AG41" s="347"/>
      <c r="AH41" s="347"/>
      <c r="AI41" s="348"/>
      <c r="AJ41" s="329"/>
      <c r="AL41" s="349">
        <f t="shared" si="48"/>
        <v>6000</v>
      </c>
      <c r="AM41" s="316" t="str">
        <f t="shared" si="48"/>
        <v/>
      </c>
      <c r="AN41" s="316" t="str">
        <f t="shared" si="48"/>
        <v/>
      </c>
      <c r="AO41" s="316" t="str">
        <f t="shared" si="48"/>
        <v/>
      </c>
      <c r="AP41" s="316" t="str">
        <f t="shared" si="48"/>
        <v/>
      </c>
      <c r="AQ41" s="316" t="str">
        <f t="shared" si="48"/>
        <v/>
      </c>
      <c r="AR41" s="316" t="str">
        <f t="shared" si="48"/>
        <v/>
      </c>
      <c r="AS41" s="316" t="str">
        <f t="shared" si="48"/>
        <v/>
      </c>
      <c r="AT41" s="316" t="str">
        <f t="shared" si="48"/>
        <v/>
      </c>
      <c r="AU41" s="316" t="str">
        <f t="shared" si="48"/>
        <v/>
      </c>
      <c r="AV41" s="316" t="str">
        <f t="shared" si="49"/>
        <v/>
      </c>
      <c r="AW41" s="316" t="str">
        <f t="shared" si="49"/>
        <v/>
      </c>
      <c r="AX41" s="316" t="str">
        <f t="shared" si="49"/>
        <v/>
      </c>
      <c r="AY41" s="316" t="str">
        <f t="shared" si="49"/>
        <v/>
      </c>
      <c r="AZ41" s="316" t="str">
        <f t="shared" si="49"/>
        <v/>
      </c>
      <c r="BA41" s="316">
        <f t="shared" si="49"/>
        <v>6000</v>
      </c>
      <c r="BB41" s="316" t="str">
        <f t="shared" si="49"/>
        <v/>
      </c>
      <c r="BC41" s="316" t="str">
        <f t="shared" si="49"/>
        <v/>
      </c>
      <c r="BD41" s="316" t="str">
        <f t="shared" si="49"/>
        <v/>
      </c>
      <c r="BE41" s="316" t="str">
        <f t="shared" si="49"/>
        <v/>
      </c>
      <c r="BF41" s="316" t="str">
        <f t="shared" si="50"/>
        <v/>
      </c>
      <c r="BG41" s="316" t="str">
        <f t="shared" si="50"/>
        <v/>
      </c>
      <c r="BH41" s="316" t="str">
        <f t="shared" si="50"/>
        <v/>
      </c>
      <c r="BI41" s="316" t="str">
        <f t="shared" si="50"/>
        <v/>
      </c>
      <c r="BJ41" s="316" t="str">
        <f t="shared" si="50"/>
        <v/>
      </c>
      <c r="BK41" s="316" t="str">
        <f t="shared" si="50"/>
        <v/>
      </c>
      <c r="BL41" s="316" t="str">
        <f t="shared" si="50"/>
        <v/>
      </c>
      <c r="BM41" s="316" t="str">
        <f t="shared" si="50"/>
        <v/>
      </c>
      <c r="BN41" s="316" t="str">
        <f t="shared" si="50"/>
        <v/>
      </c>
      <c r="BO41" s="316" t="str">
        <f t="shared" si="50"/>
        <v/>
      </c>
      <c r="BP41" s="350" t="str">
        <f t="shared" si="51"/>
        <v/>
      </c>
    </row>
    <row r="42" spans="1:68" x14ac:dyDescent="0.3">
      <c r="A42" s="343" t="s">
        <v>176</v>
      </c>
      <c r="B42" s="344">
        <v>6400</v>
      </c>
      <c r="C42" s="345">
        <v>1</v>
      </c>
      <c r="D42" s="371">
        <f t="shared" si="47"/>
        <v>6400</v>
      </c>
      <c r="E42" s="347" t="s">
        <v>145</v>
      </c>
      <c r="F42" s="347"/>
      <c r="G42" s="347"/>
      <c r="H42" s="347"/>
      <c r="I42" s="347"/>
      <c r="J42" s="347"/>
      <c r="K42" s="347"/>
      <c r="L42" s="347"/>
      <c r="M42" s="347"/>
      <c r="N42" s="347"/>
      <c r="O42" s="347" t="s">
        <v>32</v>
      </c>
      <c r="P42" s="347"/>
      <c r="Q42" s="347"/>
      <c r="R42" s="347"/>
      <c r="S42" s="347"/>
      <c r="T42" s="347" t="s">
        <v>32</v>
      </c>
      <c r="U42" s="347"/>
      <c r="V42" s="347"/>
      <c r="W42" s="347"/>
      <c r="X42" s="347"/>
      <c r="Y42" s="347"/>
      <c r="Z42" s="347"/>
      <c r="AA42" s="347"/>
      <c r="AB42" s="347"/>
      <c r="AC42" s="347"/>
      <c r="AD42" s="347"/>
      <c r="AE42" s="347"/>
      <c r="AF42" s="347"/>
      <c r="AG42" s="347"/>
      <c r="AH42" s="347"/>
      <c r="AI42" s="348"/>
      <c r="AJ42" s="329"/>
      <c r="AL42" s="349">
        <f t="shared" si="48"/>
        <v>6400</v>
      </c>
      <c r="AM42" s="316" t="str">
        <f t="shared" si="48"/>
        <v/>
      </c>
      <c r="AN42" s="316" t="str">
        <f t="shared" si="48"/>
        <v/>
      </c>
      <c r="AO42" s="316" t="str">
        <f t="shared" si="48"/>
        <v/>
      </c>
      <c r="AP42" s="316" t="str">
        <f t="shared" si="48"/>
        <v/>
      </c>
      <c r="AQ42" s="316" t="str">
        <f t="shared" si="48"/>
        <v/>
      </c>
      <c r="AR42" s="316" t="str">
        <f t="shared" si="48"/>
        <v/>
      </c>
      <c r="AS42" s="316" t="str">
        <f t="shared" si="48"/>
        <v/>
      </c>
      <c r="AT42" s="316" t="str">
        <f t="shared" si="48"/>
        <v/>
      </c>
      <c r="AU42" s="316" t="str">
        <f t="shared" si="48"/>
        <v/>
      </c>
      <c r="AV42" s="316" t="str">
        <f t="shared" si="49"/>
        <v/>
      </c>
      <c r="AW42" s="316" t="str">
        <f t="shared" si="49"/>
        <v/>
      </c>
      <c r="AX42" s="316" t="str">
        <f t="shared" si="49"/>
        <v/>
      </c>
      <c r="AY42" s="316" t="str">
        <f t="shared" si="49"/>
        <v/>
      </c>
      <c r="AZ42" s="316" t="str">
        <f t="shared" si="49"/>
        <v/>
      </c>
      <c r="BA42" s="316" t="str">
        <f t="shared" si="49"/>
        <v/>
      </c>
      <c r="BB42" s="316" t="str">
        <f t="shared" si="49"/>
        <v/>
      </c>
      <c r="BC42" s="316" t="str">
        <f t="shared" si="49"/>
        <v/>
      </c>
      <c r="BD42" s="316" t="str">
        <f t="shared" si="49"/>
        <v/>
      </c>
      <c r="BE42" s="316" t="str">
        <f t="shared" si="49"/>
        <v/>
      </c>
      <c r="BF42" s="316" t="str">
        <f t="shared" si="50"/>
        <v/>
      </c>
      <c r="BG42" s="316" t="str">
        <f t="shared" si="50"/>
        <v/>
      </c>
      <c r="BH42" s="316" t="str">
        <f t="shared" si="50"/>
        <v/>
      </c>
      <c r="BI42" s="316" t="str">
        <f t="shared" si="50"/>
        <v/>
      </c>
      <c r="BJ42" s="316" t="str">
        <f t="shared" si="50"/>
        <v/>
      </c>
      <c r="BK42" s="316" t="str">
        <f t="shared" si="50"/>
        <v/>
      </c>
      <c r="BL42" s="316" t="str">
        <f t="shared" si="50"/>
        <v/>
      </c>
      <c r="BM42" s="316" t="str">
        <f t="shared" si="50"/>
        <v/>
      </c>
      <c r="BN42" s="316" t="str">
        <f t="shared" si="50"/>
        <v/>
      </c>
      <c r="BO42" s="316" t="str">
        <f t="shared" si="50"/>
        <v/>
      </c>
      <c r="BP42" s="350" t="str">
        <f t="shared" si="51"/>
        <v/>
      </c>
    </row>
    <row r="43" spans="1:68" x14ac:dyDescent="0.3">
      <c r="A43" s="343" t="s">
        <v>177</v>
      </c>
      <c r="B43" s="344">
        <v>2000</v>
      </c>
      <c r="C43" s="345">
        <v>0</v>
      </c>
      <c r="D43" s="371">
        <f t="shared" si="47"/>
        <v>0</v>
      </c>
      <c r="E43" s="347" t="s">
        <v>145</v>
      </c>
      <c r="F43" s="347"/>
      <c r="G43" s="347"/>
      <c r="H43" s="347"/>
      <c r="I43" s="347"/>
      <c r="J43" s="347"/>
      <c r="K43" s="347"/>
      <c r="L43" s="347"/>
      <c r="M43" s="347"/>
      <c r="N43" s="347"/>
      <c r="O43" s="347" t="s">
        <v>32</v>
      </c>
      <c r="P43" s="347"/>
      <c r="Q43" s="347"/>
      <c r="R43" s="347"/>
      <c r="S43" s="347"/>
      <c r="T43" s="347" t="s">
        <v>32</v>
      </c>
      <c r="U43" s="347"/>
      <c r="V43" s="347"/>
      <c r="W43" s="347"/>
      <c r="X43" s="347"/>
      <c r="Y43" s="347"/>
      <c r="Z43" s="347"/>
      <c r="AA43" s="347"/>
      <c r="AB43" s="347"/>
      <c r="AC43" s="347"/>
      <c r="AD43" s="347"/>
      <c r="AE43" s="347"/>
      <c r="AF43" s="347"/>
      <c r="AG43" s="347"/>
      <c r="AH43" s="347"/>
      <c r="AI43" s="348"/>
      <c r="AJ43" s="329"/>
      <c r="AL43" s="349">
        <f t="shared" si="48"/>
        <v>2000</v>
      </c>
      <c r="AM43" s="316" t="str">
        <f t="shared" si="48"/>
        <v/>
      </c>
      <c r="AN43" s="316" t="str">
        <f t="shared" si="48"/>
        <v/>
      </c>
      <c r="AO43" s="316" t="str">
        <f t="shared" si="48"/>
        <v/>
      </c>
      <c r="AP43" s="316" t="str">
        <f t="shared" si="48"/>
        <v/>
      </c>
      <c r="AQ43" s="316" t="str">
        <f t="shared" si="48"/>
        <v/>
      </c>
      <c r="AR43" s="316" t="str">
        <f t="shared" si="48"/>
        <v/>
      </c>
      <c r="AS43" s="316" t="str">
        <f t="shared" si="48"/>
        <v/>
      </c>
      <c r="AT43" s="316" t="str">
        <f t="shared" si="48"/>
        <v/>
      </c>
      <c r="AU43" s="316" t="str">
        <f t="shared" si="48"/>
        <v/>
      </c>
      <c r="AV43" s="316" t="str">
        <f t="shared" si="49"/>
        <v/>
      </c>
      <c r="AW43" s="316" t="str">
        <f t="shared" si="49"/>
        <v/>
      </c>
      <c r="AX43" s="316" t="str">
        <f t="shared" si="49"/>
        <v/>
      </c>
      <c r="AY43" s="316" t="str">
        <f t="shared" si="49"/>
        <v/>
      </c>
      <c r="AZ43" s="316" t="str">
        <f t="shared" si="49"/>
        <v/>
      </c>
      <c r="BA43" s="316" t="str">
        <f t="shared" si="49"/>
        <v/>
      </c>
      <c r="BB43" s="316" t="str">
        <f t="shared" si="49"/>
        <v/>
      </c>
      <c r="BC43" s="316" t="str">
        <f t="shared" si="49"/>
        <v/>
      </c>
      <c r="BD43" s="316" t="str">
        <f t="shared" si="49"/>
        <v/>
      </c>
      <c r="BE43" s="316" t="str">
        <f t="shared" si="49"/>
        <v/>
      </c>
      <c r="BF43" s="316" t="str">
        <f t="shared" si="50"/>
        <v/>
      </c>
      <c r="BG43" s="316" t="str">
        <f t="shared" si="50"/>
        <v/>
      </c>
      <c r="BH43" s="316" t="str">
        <f t="shared" si="50"/>
        <v/>
      </c>
      <c r="BI43" s="316" t="str">
        <f t="shared" si="50"/>
        <v/>
      </c>
      <c r="BJ43" s="316" t="str">
        <f t="shared" si="50"/>
        <v/>
      </c>
      <c r="BK43" s="316" t="str">
        <f t="shared" si="50"/>
        <v/>
      </c>
      <c r="BL43" s="316" t="str">
        <f t="shared" si="50"/>
        <v/>
      </c>
      <c r="BM43" s="316" t="str">
        <f t="shared" si="50"/>
        <v/>
      </c>
      <c r="BN43" s="316" t="str">
        <f t="shared" si="50"/>
        <v/>
      </c>
      <c r="BO43" s="316" t="str">
        <f t="shared" si="50"/>
        <v/>
      </c>
      <c r="BP43" s="350" t="str">
        <f t="shared" si="51"/>
        <v/>
      </c>
    </row>
    <row r="44" spans="1:68" x14ac:dyDescent="0.3">
      <c r="A44" s="372" t="s">
        <v>178</v>
      </c>
      <c r="B44" s="352">
        <v>1000</v>
      </c>
      <c r="C44" s="353">
        <v>0</v>
      </c>
      <c r="D44" s="373">
        <f t="shared" si="47"/>
        <v>0</v>
      </c>
      <c r="E44" s="356" t="s">
        <v>145</v>
      </c>
      <c r="F44" s="356"/>
      <c r="G44" s="356" t="s">
        <v>32</v>
      </c>
      <c r="H44" s="356"/>
      <c r="I44" s="356"/>
      <c r="J44" s="356"/>
      <c r="K44" s="356"/>
      <c r="L44" s="356"/>
      <c r="M44" s="356"/>
      <c r="N44" s="356"/>
      <c r="O44" s="356" t="s">
        <v>32</v>
      </c>
      <c r="P44" s="356"/>
      <c r="Q44" s="356"/>
      <c r="R44" s="356"/>
      <c r="S44" s="356"/>
      <c r="T44" s="356"/>
      <c r="U44" s="356"/>
      <c r="V44" s="356"/>
      <c r="W44" s="356"/>
      <c r="X44" s="356"/>
      <c r="Y44" s="356"/>
      <c r="Z44" s="356"/>
      <c r="AA44" s="356"/>
      <c r="AB44" s="356"/>
      <c r="AC44" s="356"/>
      <c r="AD44" s="356"/>
      <c r="AE44" s="356"/>
      <c r="AF44" s="356"/>
      <c r="AG44" s="356"/>
      <c r="AH44" s="356"/>
      <c r="AI44" s="357"/>
      <c r="AJ44" s="329"/>
      <c r="AL44" s="358">
        <f t="shared" si="48"/>
        <v>1000</v>
      </c>
      <c r="AM44" s="359" t="str">
        <f t="shared" si="48"/>
        <v/>
      </c>
      <c r="AN44" s="359" t="str">
        <f t="shared" si="48"/>
        <v/>
      </c>
      <c r="AO44" s="359" t="str">
        <f t="shared" si="48"/>
        <v/>
      </c>
      <c r="AP44" s="359" t="str">
        <f t="shared" si="48"/>
        <v/>
      </c>
      <c r="AQ44" s="359" t="str">
        <f t="shared" si="48"/>
        <v/>
      </c>
      <c r="AR44" s="359" t="str">
        <f t="shared" si="48"/>
        <v/>
      </c>
      <c r="AS44" s="359" t="str">
        <f t="shared" si="48"/>
        <v/>
      </c>
      <c r="AT44" s="359" t="str">
        <f t="shared" si="48"/>
        <v/>
      </c>
      <c r="AU44" s="359" t="str">
        <f t="shared" si="48"/>
        <v/>
      </c>
      <c r="AV44" s="359" t="str">
        <f t="shared" si="49"/>
        <v/>
      </c>
      <c r="AW44" s="359" t="str">
        <f t="shared" si="49"/>
        <v/>
      </c>
      <c r="AX44" s="359" t="str">
        <f t="shared" si="49"/>
        <v/>
      </c>
      <c r="AY44" s="359" t="str">
        <f t="shared" si="49"/>
        <v/>
      </c>
      <c r="AZ44" s="359" t="str">
        <f t="shared" si="49"/>
        <v/>
      </c>
      <c r="BA44" s="359" t="str">
        <f t="shared" si="49"/>
        <v/>
      </c>
      <c r="BB44" s="359" t="str">
        <f t="shared" si="49"/>
        <v/>
      </c>
      <c r="BC44" s="359" t="str">
        <f t="shared" si="49"/>
        <v/>
      </c>
      <c r="BD44" s="359" t="str">
        <f t="shared" si="49"/>
        <v/>
      </c>
      <c r="BE44" s="359" t="str">
        <f t="shared" si="49"/>
        <v/>
      </c>
      <c r="BF44" s="359" t="str">
        <f t="shared" si="50"/>
        <v/>
      </c>
      <c r="BG44" s="359" t="str">
        <f t="shared" si="50"/>
        <v/>
      </c>
      <c r="BH44" s="359" t="str">
        <f t="shared" si="50"/>
        <v/>
      </c>
      <c r="BI44" s="359" t="str">
        <f t="shared" si="50"/>
        <v/>
      </c>
      <c r="BJ44" s="359" t="str">
        <f t="shared" si="50"/>
        <v/>
      </c>
      <c r="BK44" s="359" t="str">
        <f t="shared" si="50"/>
        <v/>
      </c>
      <c r="BL44" s="359" t="str">
        <f t="shared" si="50"/>
        <v/>
      </c>
      <c r="BM44" s="359" t="str">
        <f t="shared" si="50"/>
        <v/>
      </c>
      <c r="BN44" s="359" t="str">
        <f t="shared" si="50"/>
        <v/>
      </c>
      <c r="BO44" s="359" t="str">
        <f t="shared" si="50"/>
        <v/>
      </c>
      <c r="BP44" s="360" t="str">
        <f t="shared" si="51"/>
        <v/>
      </c>
    </row>
    <row r="45" spans="1:68" x14ac:dyDescent="0.3">
      <c r="A45" s="361" t="s">
        <v>47</v>
      </c>
      <c r="B45" s="362">
        <f>SUM(B39:B44)</f>
        <v>81400</v>
      </c>
      <c r="C45" s="363"/>
      <c r="D45" s="364">
        <f>SUM(D39:D44)</f>
        <v>6400</v>
      </c>
      <c r="E45" s="329"/>
      <c r="F45" s="329"/>
      <c r="G45" s="329"/>
      <c r="H45" s="329"/>
      <c r="I45" s="329"/>
      <c r="J45" s="329"/>
      <c r="K45" s="329"/>
      <c r="L45" s="329"/>
      <c r="M45" s="329"/>
      <c r="N45" s="329"/>
      <c r="O45" s="329"/>
      <c r="P45" s="329"/>
      <c r="Q45" s="329"/>
      <c r="R45" s="329"/>
      <c r="S45" s="329"/>
      <c r="T45" s="329"/>
      <c r="U45" s="329"/>
      <c r="V45" s="329"/>
      <c r="W45" s="329"/>
      <c r="X45" s="329"/>
      <c r="Y45" s="329"/>
      <c r="Z45" s="329"/>
      <c r="AA45" s="329"/>
      <c r="AB45" s="329"/>
      <c r="AC45" s="329"/>
      <c r="AD45" s="329"/>
      <c r="AE45" s="329"/>
      <c r="AF45" s="329"/>
      <c r="AG45" s="329"/>
      <c r="AH45" s="329"/>
      <c r="AI45" s="329"/>
      <c r="AJ45" s="329"/>
      <c r="AL45" s="349"/>
      <c r="AM45" s="316"/>
      <c r="AN45" s="316"/>
      <c r="AO45" s="316"/>
      <c r="AP45" s="316"/>
      <c r="AQ45" s="316"/>
      <c r="AR45" s="316"/>
      <c r="AS45" s="316"/>
      <c r="AT45" s="316"/>
      <c r="AU45" s="316"/>
      <c r="AV45" s="316"/>
      <c r="AW45" s="316"/>
      <c r="AX45" s="316"/>
      <c r="AY45" s="316"/>
      <c r="AZ45" s="316"/>
      <c r="BA45" s="316"/>
      <c r="BB45" s="316"/>
      <c r="BC45" s="316"/>
      <c r="BD45" s="316"/>
      <c r="BE45" s="316"/>
      <c r="BF45" s="316"/>
      <c r="BG45" s="316"/>
      <c r="BH45" s="316"/>
      <c r="BI45" s="316"/>
      <c r="BJ45" s="316"/>
      <c r="BK45" s="316"/>
      <c r="BL45" s="316"/>
      <c r="BM45" s="316"/>
      <c r="BN45" s="316"/>
      <c r="BO45" s="316"/>
      <c r="BP45" s="350"/>
    </row>
    <row r="46" spans="1:68" x14ac:dyDescent="0.3">
      <c r="B46" s="29"/>
      <c r="C46" s="29"/>
      <c r="D46" s="29"/>
      <c r="E46" s="329"/>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L46" s="349"/>
      <c r="AM46" s="316"/>
      <c r="AN46" s="316"/>
      <c r="AO46" s="316"/>
      <c r="AP46" s="316"/>
      <c r="AQ46" s="316"/>
      <c r="AR46" s="316"/>
      <c r="AS46" s="316"/>
      <c r="AT46" s="316"/>
      <c r="AU46" s="316"/>
      <c r="AV46" s="316"/>
      <c r="AW46" s="316"/>
      <c r="AX46" s="316"/>
      <c r="AY46" s="316"/>
      <c r="AZ46" s="316"/>
      <c r="BA46" s="316"/>
      <c r="BB46" s="316"/>
      <c r="BC46" s="316"/>
      <c r="BD46" s="316"/>
      <c r="BE46" s="316"/>
      <c r="BF46" s="316"/>
      <c r="BG46" s="316"/>
      <c r="BH46" s="316"/>
      <c r="BI46" s="316"/>
      <c r="BJ46" s="316"/>
      <c r="BK46" s="316"/>
      <c r="BL46" s="316"/>
      <c r="BM46" s="316"/>
      <c r="BN46" s="316"/>
      <c r="BO46" s="316"/>
      <c r="BP46" s="350"/>
    </row>
    <row r="47" spans="1:68" x14ac:dyDescent="0.3">
      <c r="A47" s="51" t="s">
        <v>179</v>
      </c>
      <c r="B47" s="52"/>
      <c r="C47" s="367"/>
      <c r="D47" s="368"/>
      <c r="E47" s="327"/>
      <c r="F47" s="327"/>
      <c r="G47" s="327"/>
      <c r="H47" s="327"/>
      <c r="I47" s="327"/>
      <c r="J47" s="327"/>
      <c r="K47" s="327"/>
      <c r="L47" s="327"/>
      <c r="M47" s="327"/>
      <c r="N47" s="327"/>
      <c r="O47" s="327"/>
      <c r="P47" s="327"/>
      <c r="Q47" s="327"/>
      <c r="R47" s="327"/>
      <c r="S47" s="327"/>
      <c r="T47" s="327"/>
      <c r="U47" s="327"/>
      <c r="V47" s="327"/>
      <c r="W47" s="327"/>
      <c r="X47" s="327"/>
      <c r="Y47" s="327"/>
      <c r="Z47" s="327"/>
      <c r="AA47" s="327"/>
      <c r="AB47" s="327"/>
      <c r="AC47" s="327"/>
      <c r="AD47" s="327"/>
      <c r="AE47" s="327"/>
      <c r="AF47" s="327"/>
      <c r="AG47" s="327"/>
      <c r="AH47" s="327"/>
      <c r="AI47" s="328"/>
      <c r="AJ47" s="329"/>
      <c r="AL47" s="330"/>
      <c r="AM47" s="331"/>
      <c r="AN47" s="331"/>
      <c r="AO47" s="331"/>
      <c r="AP47" s="331"/>
      <c r="AQ47" s="331"/>
      <c r="AR47" s="331"/>
      <c r="AS47" s="331"/>
      <c r="AT47" s="331"/>
      <c r="AU47" s="331"/>
      <c r="AV47" s="331"/>
      <c r="AW47" s="331"/>
      <c r="AX47" s="331"/>
      <c r="AY47" s="331"/>
      <c r="AZ47" s="331"/>
      <c r="BA47" s="331"/>
      <c r="BB47" s="331"/>
      <c r="BC47" s="331"/>
      <c r="BD47" s="331"/>
      <c r="BE47" s="331"/>
      <c r="BF47" s="331"/>
      <c r="BG47" s="331"/>
      <c r="BH47" s="331"/>
      <c r="BI47" s="331"/>
      <c r="BJ47" s="331"/>
      <c r="BK47" s="331"/>
      <c r="BL47" s="331"/>
      <c r="BM47" s="331"/>
      <c r="BN47" s="331"/>
      <c r="BO47" s="331"/>
      <c r="BP47" s="332"/>
    </row>
    <row r="48" spans="1:68" x14ac:dyDescent="0.3">
      <c r="A48" s="369" t="s">
        <v>180</v>
      </c>
      <c r="B48" s="334">
        <v>5000</v>
      </c>
      <c r="C48" s="335">
        <v>0</v>
      </c>
      <c r="D48" s="370">
        <f>C48*B48</f>
        <v>0</v>
      </c>
      <c r="E48" s="338" t="s">
        <v>145</v>
      </c>
      <c r="F48" s="338"/>
      <c r="G48" s="338" t="s">
        <v>32</v>
      </c>
      <c r="H48" s="338"/>
      <c r="I48" s="338"/>
      <c r="J48" s="338"/>
      <c r="K48" s="338"/>
      <c r="L48" s="338"/>
      <c r="M48" s="338"/>
      <c r="N48" s="338"/>
      <c r="O48" s="338"/>
      <c r="P48" s="338"/>
      <c r="Q48" s="338"/>
      <c r="R48" s="338"/>
      <c r="S48" s="338"/>
      <c r="T48" s="338" t="s">
        <v>146</v>
      </c>
      <c r="U48" s="338"/>
      <c r="V48" s="338"/>
      <c r="W48" s="338"/>
      <c r="X48" s="338"/>
      <c r="Y48" s="338" t="s">
        <v>32</v>
      </c>
      <c r="Z48" s="338"/>
      <c r="AA48" s="338"/>
      <c r="AB48" s="338"/>
      <c r="AC48" s="338"/>
      <c r="AD48" s="338"/>
      <c r="AE48" s="338"/>
      <c r="AF48" s="338"/>
      <c r="AG48" s="338"/>
      <c r="AH48" s="338"/>
      <c r="AI48" s="339"/>
      <c r="AJ48" s="329"/>
      <c r="AL48" s="340">
        <f t="shared" ref="AL48:AU50" si="52">IF(E48="p",$B48,IF(E48="r",$B48-$D48,""))</f>
        <v>5000</v>
      </c>
      <c r="AM48" s="341" t="str">
        <f t="shared" si="52"/>
        <v/>
      </c>
      <c r="AN48" s="341" t="str">
        <f t="shared" si="52"/>
        <v/>
      </c>
      <c r="AO48" s="341" t="str">
        <f t="shared" si="52"/>
        <v/>
      </c>
      <c r="AP48" s="341" t="str">
        <f t="shared" si="52"/>
        <v/>
      </c>
      <c r="AQ48" s="341" t="str">
        <f t="shared" si="52"/>
        <v/>
      </c>
      <c r="AR48" s="341" t="str">
        <f t="shared" si="52"/>
        <v/>
      </c>
      <c r="AS48" s="341" t="str">
        <f t="shared" si="52"/>
        <v/>
      </c>
      <c r="AT48" s="341" t="str">
        <f t="shared" si="52"/>
        <v/>
      </c>
      <c r="AU48" s="341" t="str">
        <f t="shared" si="52"/>
        <v/>
      </c>
      <c r="AV48" s="341" t="str">
        <f t="shared" ref="AV48:BE50" si="53">IF(O48="p",$B48,IF(O48="r",$B48-$D48,""))</f>
        <v/>
      </c>
      <c r="AW48" s="341" t="str">
        <f t="shared" si="53"/>
        <v/>
      </c>
      <c r="AX48" s="341" t="str">
        <f t="shared" si="53"/>
        <v/>
      </c>
      <c r="AY48" s="341" t="str">
        <f t="shared" si="53"/>
        <v/>
      </c>
      <c r="AZ48" s="341" t="str">
        <f t="shared" si="53"/>
        <v/>
      </c>
      <c r="BA48" s="341">
        <f t="shared" si="53"/>
        <v>5000</v>
      </c>
      <c r="BB48" s="341" t="str">
        <f t="shared" si="53"/>
        <v/>
      </c>
      <c r="BC48" s="341" t="str">
        <f t="shared" si="53"/>
        <v/>
      </c>
      <c r="BD48" s="341" t="str">
        <f t="shared" si="53"/>
        <v/>
      </c>
      <c r="BE48" s="341" t="str">
        <f t="shared" si="53"/>
        <v/>
      </c>
      <c r="BF48" s="341" t="str">
        <f t="shared" ref="BF48:BO50" si="54">IF(Y48="p",$B48,IF(Y48="r",$B48-$D48,""))</f>
        <v/>
      </c>
      <c r="BG48" s="341" t="str">
        <f t="shared" si="54"/>
        <v/>
      </c>
      <c r="BH48" s="341" t="str">
        <f t="shared" si="54"/>
        <v/>
      </c>
      <c r="BI48" s="341" t="str">
        <f t="shared" si="54"/>
        <v/>
      </c>
      <c r="BJ48" s="341" t="str">
        <f t="shared" si="54"/>
        <v/>
      </c>
      <c r="BK48" s="341" t="str">
        <f t="shared" si="54"/>
        <v/>
      </c>
      <c r="BL48" s="341" t="str">
        <f t="shared" si="54"/>
        <v/>
      </c>
      <c r="BM48" s="341" t="str">
        <f t="shared" si="54"/>
        <v/>
      </c>
      <c r="BN48" s="341" t="str">
        <f t="shared" si="54"/>
        <v/>
      </c>
      <c r="BO48" s="341" t="str">
        <f t="shared" si="54"/>
        <v/>
      </c>
      <c r="BP48" s="342" t="str">
        <f>IF(AI48="p",$B48,IF(AI48="r",$B48-$D48,""))</f>
        <v/>
      </c>
    </row>
    <row r="49" spans="1:68" x14ac:dyDescent="0.3">
      <c r="A49" s="343" t="s">
        <v>181</v>
      </c>
      <c r="B49" s="344">
        <v>300</v>
      </c>
      <c r="C49" s="345">
        <v>0</v>
      </c>
      <c r="D49" s="371">
        <f>C49*B49</f>
        <v>0</v>
      </c>
      <c r="E49" s="347" t="s">
        <v>32</v>
      </c>
      <c r="F49" s="347"/>
      <c r="G49" s="347" t="s">
        <v>32</v>
      </c>
      <c r="H49" s="347"/>
      <c r="I49" s="347" t="s">
        <v>145</v>
      </c>
      <c r="J49" s="347"/>
      <c r="K49" s="347"/>
      <c r="L49" s="347"/>
      <c r="M49" s="347"/>
      <c r="N49" s="347"/>
      <c r="O49" s="347"/>
      <c r="P49" s="347"/>
      <c r="Q49" s="347" t="s">
        <v>32</v>
      </c>
      <c r="R49" s="347"/>
      <c r="S49" s="347"/>
      <c r="T49" s="347"/>
      <c r="U49" s="347"/>
      <c r="V49" s="347"/>
      <c r="W49" s="347"/>
      <c r="X49" s="347"/>
      <c r="Y49" s="347"/>
      <c r="Z49" s="347"/>
      <c r="AA49" s="347"/>
      <c r="AB49" s="347"/>
      <c r="AC49" s="347"/>
      <c r="AD49" s="347"/>
      <c r="AE49" s="347"/>
      <c r="AF49" s="347"/>
      <c r="AG49" s="347"/>
      <c r="AH49" s="347"/>
      <c r="AI49" s="348"/>
      <c r="AJ49" s="329"/>
      <c r="AL49" s="349" t="str">
        <f t="shared" si="52"/>
        <v/>
      </c>
      <c r="AM49" s="316" t="str">
        <f t="shared" si="52"/>
        <v/>
      </c>
      <c r="AN49" s="316" t="str">
        <f t="shared" si="52"/>
        <v/>
      </c>
      <c r="AO49" s="316" t="str">
        <f t="shared" si="52"/>
        <v/>
      </c>
      <c r="AP49" s="316">
        <f t="shared" si="52"/>
        <v>300</v>
      </c>
      <c r="AQ49" s="316" t="str">
        <f t="shared" si="52"/>
        <v/>
      </c>
      <c r="AR49" s="316" t="str">
        <f t="shared" si="52"/>
        <v/>
      </c>
      <c r="AS49" s="316" t="str">
        <f t="shared" si="52"/>
        <v/>
      </c>
      <c r="AT49" s="316" t="str">
        <f t="shared" si="52"/>
        <v/>
      </c>
      <c r="AU49" s="316" t="str">
        <f t="shared" si="52"/>
        <v/>
      </c>
      <c r="AV49" s="316" t="str">
        <f t="shared" si="53"/>
        <v/>
      </c>
      <c r="AW49" s="316" t="str">
        <f t="shared" si="53"/>
        <v/>
      </c>
      <c r="AX49" s="316" t="str">
        <f t="shared" si="53"/>
        <v/>
      </c>
      <c r="AY49" s="316" t="str">
        <f t="shared" si="53"/>
        <v/>
      </c>
      <c r="AZ49" s="316" t="str">
        <f t="shared" si="53"/>
        <v/>
      </c>
      <c r="BA49" s="316" t="str">
        <f t="shared" si="53"/>
        <v/>
      </c>
      <c r="BB49" s="316" t="str">
        <f t="shared" si="53"/>
        <v/>
      </c>
      <c r="BC49" s="316" t="str">
        <f t="shared" si="53"/>
        <v/>
      </c>
      <c r="BD49" s="316" t="str">
        <f t="shared" si="53"/>
        <v/>
      </c>
      <c r="BE49" s="316" t="str">
        <f t="shared" si="53"/>
        <v/>
      </c>
      <c r="BF49" s="316" t="str">
        <f t="shared" si="54"/>
        <v/>
      </c>
      <c r="BG49" s="316" t="str">
        <f t="shared" si="54"/>
        <v/>
      </c>
      <c r="BH49" s="316" t="str">
        <f t="shared" si="54"/>
        <v/>
      </c>
      <c r="BI49" s="316" t="str">
        <f t="shared" si="54"/>
        <v/>
      </c>
      <c r="BJ49" s="316" t="str">
        <f t="shared" si="54"/>
        <v/>
      </c>
      <c r="BK49" s="316" t="str">
        <f t="shared" si="54"/>
        <v/>
      </c>
      <c r="BL49" s="316" t="str">
        <f t="shared" si="54"/>
        <v/>
      </c>
      <c r="BM49" s="316" t="str">
        <f t="shared" si="54"/>
        <v/>
      </c>
      <c r="BN49" s="316" t="str">
        <f t="shared" si="54"/>
        <v/>
      </c>
      <c r="BO49" s="316" t="str">
        <f t="shared" si="54"/>
        <v/>
      </c>
      <c r="BP49" s="350" t="str">
        <f>IF(AI49="p",$B49,IF(AI49="r",$B49-$D49,""))</f>
        <v/>
      </c>
    </row>
    <row r="50" spans="1:68" x14ac:dyDescent="0.3">
      <c r="A50" s="372" t="s">
        <v>65</v>
      </c>
      <c r="B50" s="352">
        <v>0</v>
      </c>
      <c r="C50" s="353">
        <v>0.1</v>
      </c>
      <c r="D50" s="373">
        <f>C50*B50</f>
        <v>0</v>
      </c>
      <c r="E50" s="356" t="s">
        <v>145</v>
      </c>
      <c r="F50" s="356"/>
      <c r="G50" s="356"/>
      <c r="H50" s="356"/>
      <c r="I50" s="356"/>
      <c r="J50" s="356"/>
      <c r="K50" s="356"/>
      <c r="L50" s="356"/>
      <c r="M50" s="356"/>
      <c r="N50" s="356"/>
      <c r="O50" s="356" t="s">
        <v>146</v>
      </c>
      <c r="P50" s="356"/>
      <c r="Q50" s="356"/>
      <c r="R50" s="356"/>
      <c r="S50" s="356"/>
      <c r="T50" s="356"/>
      <c r="U50" s="356"/>
      <c r="V50" s="356"/>
      <c r="W50" s="356"/>
      <c r="X50" s="356"/>
      <c r="Y50" s="356"/>
      <c r="Z50" s="356"/>
      <c r="AA50" s="356"/>
      <c r="AB50" s="356"/>
      <c r="AC50" s="356"/>
      <c r="AD50" s="356"/>
      <c r="AE50" s="356"/>
      <c r="AF50" s="356"/>
      <c r="AG50" s="356"/>
      <c r="AH50" s="356"/>
      <c r="AI50" s="357"/>
      <c r="AJ50" s="329"/>
      <c r="AL50" s="358">
        <f t="shared" si="52"/>
        <v>0</v>
      </c>
      <c r="AM50" s="359" t="str">
        <f t="shared" si="52"/>
        <v/>
      </c>
      <c r="AN50" s="359" t="str">
        <f t="shared" si="52"/>
        <v/>
      </c>
      <c r="AO50" s="359" t="str">
        <f t="shared" si="52"/>
        <v/>
      </c>
      <c r="AP50" s="359" t="str">
        <f t="shared" si="52"/>
        <v/>
      </c>
      <c r="AQ50" s="359" t="str">
        <f t="shared" si="52"/>
        <v/>
      </c>
      <c r="AR50" s="359" t="str">
        <f t="shared" si="52"/>
        <v/>
      </c>
      <c r="AS50" s="359" t="str">
        <f t="shared" si="52"/>
        <v/>
      </c>
      <c r="AT50" s="359" t="str">
        <f t="shared" si="52"/>
        <v/>
      </c>
      <c r="AU50" s="359" t="str">
        <f t="shared" si="52"/>
        <v/>
      </c>
      <c r="AV50" s="359">
        <f t="shared" si="53"/>
        <v>0</v>
      </c>
      <c r="AW50" s="359" t="str">
        <f t="shared" si="53"/>
        <v/>
      </c>
      <c r="AX50" s="359" t="str">
        <f t="shared" si="53"/>
        <v/>
      </c>
      <c r="AY50" s="359" t="str">
        <f t="shared" si="53"/>
        <v/>
      </c>
      <c r="AZ50" s="359" t="str">
        <f t="shared" si="53"/>
        <v/>
      </c>
      <c r="BA50" s="359" t="str">
        <f t="shared" si="53"/>
        <v/>
      </c>
      <c r="BB50" s="359" t="str">
        <f t="shared" si="53"/>
        <v/>
      </c>
      <c r="BC50" s="359" t="str">
        <f t="shared" si="53"/>
        <v/>
      </c>
      <c r="BD50" s="359" t="str">
        <f t="shared" si="53"/>
        <v/>
      </c>
      <c r="BE50" s="359" t="str">
        <f t="shared" si="53"/>
        <v/>
      </c>
      <c r="BF50" s="359" t="str">
        <f t="shared" si="54"/>
        <v/>
      </c>
      <c r="BG50" s="359" t="str">
        <f t="shared" si="54"/>
        <v/>
      </c>
      <c r="BH50" s="359" t="str">
        <f t="shared" si="54"/>
        <v/>
      </c>
      <c r="BI50" s="359" t="str">
        <f t="shared" si="54"/>
        <v/>
      </c>
      <c r="BJ50" s="359" t="str">
        <f t="shared" si="54"/>
        <v/>
      </c>
      <c r="BK50" s="359" t="str">
        <f t="shared" si="54"/>
        <v/>
      </c>
      <c r="BL50" s="359" t="str">
        <f t="shared" si="54"/>
        <v/>
      </c>
      <c r="BM50" s="359" t="str">
        <f t="shared" si="54"/>
        <v/>
      </c>
      <c r="BN50" s="359" t="str">
        <f t="shared" si="54"/>
        <v/>
      </c>
      <c r="BO50" s="359" t="str">
        <f t="shared" si="54"/>
        <v/>
      </c>
      <c r="BP50" s="360" t="str">
        <f>IF(AI50="p",$B50,IF(AI50="r",$B50-$D50,""))</f>
        <v/>
      </c>
    </row>
    <row r="51" spans="1:68" x14ac:dyDescent="0.3">
      <c r="A51" s="361" t="s">
        <v>47</v>
      </c>
      <c r="B51" s="362">
        <f>SUM(B48:B50)</f>
        <v>5300</v>
      </c>
      <c r="C51" s="363"/>
      <c r="D51" s="364">
        <f>SUM(D48:D50)</f>
        <v>0</v>
      </c>
      <c r="E51" s="329"/>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L51" s="349"/>
      <c r="AM51" s="316"/>
      <c r="AN51" s="316"/>
      <c r="AO51" s="316"/>
      <c r="AP51" s="316"/>
      <c r="AQ51" s="316"/>
      <c r="AR51" s="316"/>
      <c r="AS51" s="316"/>
      <c r="AT51" s="316"/>
      <c r="AU51" s="316"/>
      <c r="AV51" s="316"/>
      <c r="AW51" s="316"/>
      <c r="AX51" s="316"/>
      <c r="AY51" s="316"/>
      <c r="AZ51" s="316"/>
      <c r="BA51" s="316"/>
      <c r="BB51" s="316"/>
      <c r="BC51" s="316"/>
      <c r="BD51" s="316"/>
      <c r="BE51" s="316"/>
      <c r="BF51" s="316"/>
      <c r="BG51" s="316"/>
      <c r="BH51" s="316"/>
      <c r="BI51" s="316"/>
      <c r="BJ51" s="316"/>
      <c r="BK51" s="316"/>
      <c r="BL51" s="316"/>
      <c r="BM51" s="316"/>
      <c r="BN51" s="316"/>
      <c r="BO51" s="316"/>
      <c r="BP51" s="350"/>
    </row>
    <row r="52" spans="1:68" x14ac:dyDescent="0.3">
      <c r="B52" s="29"/>
      <c r="C52" s="29"/>
      <c r="D52" s="29"/>
      <c r="E52" s="329"/>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L52" s="349"/>
      <c r="AM52" s="316"/>
      <c r="AN52" s="316"/>
      <c r="AO52" s="316"/>
      <c r="AP52" s="316"/>
      <c r="AQ52" s="316"/>
      <c r="AR52" s="316"/>
      <c r="AS52" s="316"/>
      <c r="AT52" s="316"/>
      <c r="AU52" s="316"/>
      <c r="AV52" s="316"/>
      <c r="AW52" s="316"/>
      <c r="AX52" s="316"/>
      <c r="AY52" s="316"/>
      <c r="AZ52" s="316"/>
      <c r="BA52" s="316"/>
      <c r="BB52" s="316"/>
      <c r="BC52" s="316"/>
      <c r="BD52" s="316"/>
      <c r="BE52" s="316"/>
      <c r="BF52" s="316"/>
      <c r="BG52" s="316"/>
      <c r="BH52" s="316"/>
      <c r="BI52" s="316"/>
      <c r="BJ52" s="316"/>
      <c r="BK52" s="316"/>
      <c r="BL52" s="316"/>
      <c r="BM52" s="316"/>
      <c r="BN52" s="316"/>
      <c r="BO52" s="316"/>
      <c r="BP52" s="350"/>
    </row>
    <row r="53" spans="1:68" x14ac:dyDescent="0.3">
      <c r="A53" s="51" t="s">
        <v>182</v>
      </c>
      <c r="B53" s="52"/>
      <c r="C53" s="367"/>
      <c r="D53" s="368"/>
      <c r="E53" s="327"/>
      <c r="F53" s="327"/>
      <c r="G53" s="327"/>
      <c r="H53" s="327"/>
      <c r="I53" s="327"/>
      <c r="J53" s="327"/>
      <c r="K53" s="327"/>
      <c r="L53" s="327"/>
      <c r="M53" s="327"/>
      <c r="N53" s="327"/>
      <c r="O53" s="327"/>
      <c r="P53" s="327"/>
      <c r="Q53" s="327"/>
      <c r="R53" s="327"/>
      <c r="S53" s="327"/>
      <c r="T53" s="327"/>
      <c r="U53" s="327"/>
      <c r="V53" s="327"/>
      <c r="W53" s="327"/>
      <c r="X53" s="327"/>
      <c r="Y53" s="327"/>
      <c r="Z53" s="327"/>
      <c r="AA53" s="327"/>
      <c r="AB53" s="327"/>
      <c r="AC53" s="327"/>
      <c r="AD53" s="327"/>
      <c r="AE53" s="327"/>
      <c r="AF53" s="327"/>
      <c r="AG53" s="327"/>
      <c r="AH53" s="327"/>
      <c r="AI53" s="328"/>
      <c r="AJ53" s="329"/>
      <c r="AL53" s="330"/>
      <c r="AM53" s="331"/>
      <c r="AN53" s="331"/>
      <c r="AO53" s="331"/>
      <c r="AP53" s="331"/>
      <c r="AQ53" s="331"/>
      <c r="AR53" s="331"/>
      <c r="AS53" s="331"/>
      <c r="AT53" s="331"/>
      <c r="AU53" s="331"/>
      <c r="AV53" s="331"/>
      <c r="AW53" s="331"/>
      <c r="AX53" s="331"/>
      <c r="AY53" s="331"/>
      <c r="AZ53" s="331"/>
      <c r="BA53" s="331"/>
      <c r="BB53" s="331"/>
      <c r="BC53" s="331"/>
      <c r="BD53" s="331"/>
      <c r="BE53" s="331"/>
      <c r="BF53" s="331"/>
      <c r="BG53" s="331"/>
      <c r="BH53" s="331"/>
      <c r="BI53" s="331"/>
      <c r="BJ53" s="331"/>
      <c r="BK53" s="331"/>
      <c r="BL53" s="331"/>
      <c r="BM53" s="331"/>
      <c r="BN53" s="331"/>
      <c r="BO53" s="331"/>
      <c r="BP53" s="332"/>
    </row>
    <row r="54" spans="1:68" x14ac:dyDescent="0.3">
      <c r="A54" s="369" t="s">
        <v>183</v>
      </c>
      <c r="B54" s="334">
        <v>70000</v>
      </c>
      <c r="C54" s="335">
        <v>0.2</v>
      </c>
      <c r="D54" s="370">
        <f>C54*B54</f>
        <v>14000</v>
      </c>
      <c r="E54" s="338" t="s">
        <v>145</v>
      </c>
      <c r="F54" s="338"/>
      <c r="G54" s="338"/>
      <c r="H54" s="338" t="s">
        <v>32</v>
      </c>
      <c r="I54" s="338" t="s">
        <v>32</v>
      </c>
      <c r="J54" s="338"/>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8"/>
      <c r="AH54" s="338"/>
      <c r="AI54" s="339"/>
      <c r="AJ54" s="329"/>
      <c r="AL54" s="340">
        <f t="shared" ref="AL54:AU56" si="55">IF(E54="p",$B54,IF(E54="r",$B54-$D54,""))</f>
        <v>70000</v>
      </c>
      <c r="AM54" s="341" t="str">
        <f t="shared" si="55"/>
        <v/>
      </c>
      <c r="AN54" s="341" t="str">
        <f t="shared" si="55"/>
        <v/>
      </c>
      <c r="AO54" s="341" t="str">
        <f t="shared" si="55"/>
        <v/>
      </c>
      <c r="AP54" s="341" t="str">
        <f t="shared" si="55"/>
        <v/>
      </c>
      <c r="AQ54" s="341" t="str">
        <f t="shared" si="55"/>
        <v/>
      </c>
      <c r="AR54" s="341" t="str">
        <f t="shared" si="55"/>
        <v/>
      </c>
      <c r="AS54" s="341" t="str">
        <f t="shared" si="55"/>
        <v/>
      </c>
      <c r="AT54" s="341" t="str">
        <f t="shared" si="55"/>
        <v/>
      </c>
      <c r="AU54" s="341" t="str">
        <f t="shared" si="55"/>
        <v/>
      </c>
      <c r="AV54" s="341" t="str">
        <f t="shared" ref="AV54:BE56" si="56">IF(O54="p",$B54,IF(O54="r",$B54-$D54,""))</f>
        <v/>
      </c>
      <c r="AW54" s="341" t="str">
        <f t="shared" si="56"/>
        <v/>
      </c>
      <c r="AX54" s="341" t="str">
        <f t="shared" si="56"/>
        <v/>
      </c>
      <c r="AY54" s="341" t="str">
        <f t="shared" si="56"/>
        <v/>
      </c>
      <c r="AZ54" s="341" t="str">
        <f t="shared" si="56"/>
        <v/>
      </c>
      <c r="BA54" s="341" t="str">
        <f t="shared" si="56"/>
        <v/>
      </c>
      <c r="BB54" s="341" t="str">
        <f t="shared" si="56"/>
        <v/>
      </c>
      <c r="BC54" s="341" t="str">
        <f t="shared" si="56"/>
        <v/>
      </c>
      <c r="BD54" s="341" t="str">
        <f t="shared" si="56"/>
        <v/>
      </c>
      <c r="BE54" s="341" t="str">
        <f t="shared" si="56"/>
        <v/>
      </c>
      <c r="BF54" s="341" t="str">
        <f t="shared" ref="BF54:BO56" si="57">IF(Y54="p",$B54,IF(Y54="r",$B54-$D54,""))</f>
        <v/>
      </c>
      <c r="BG54" s="341" t="str">
        <f t="shared" si="57"/>
        <v/>
      </c>
      <c r="BH54" s="341" t="str">
        <f t="shared" si="57"/>
        <v/>
      </c>
      <c r="BI54" s="341" t="str">
        <f t="shared" si="57"/>
        <v/>
      </c>
      <c r="BJ54" s="341" t="str">
        <f t="shared" si="57"/>
        <v/>
      </c>
      <c r="BK54" s="341" t="str">
        <f t="shared" si="57"/>
        <v/>
      </c>
      <c r="BL54" s="341" t="str">
        <f t="shared" si="57"/>
        <v/>
      </c>
      <c r="BM54" s="341" t="str">
        <f t="shared" si="57"/>
        <v/>
      </c>
      <c r="BN54" s="341" t="str">
        <f t="shared" si="57"/>
        <v/>
      </c>
      <c r="BO54" s="341" t="str">
        <f t="shared" si="57"/>
        <v/>
      </c>
      <c r="BP54" s="342" t="str">
        <f>IF(AI54="p",$B54,IF(AI54="r",$B54-$D54,""))</f>
        <v/>
      </c>
    </row>
    <row r="55" spans="1:68" x14ac:dyDescent="0.3">
      <c r="A55" s="343" t="s">
        <v>184</v>
      </c>
      <c r="B55" s="344">
        <v>5000</v>
      </c>
      <c r="C55" s="345">
        <v>0.2</v>
      </c>
      <c r="D55" s="371">
        <f>C55*B55</f>
        <v>1000</v>
      </c>
      <c r="E55" s="347" t="s">
        <v>145</v>
      </c>
      <c r="F55" s="347"/>
      <c r="G55" s="347"/>
      <c r="H55" s="347"/>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7"/>
      <c r="AH55" s="347"/>
      <c r="AI55" s="348"/>
      <c r="AJ55" s="329"/>
      <c r="AL55" s="349">
        <f t="shared" si="55"/>
        <v>5000</v>
      </c>
      <c r="AM55" s="316" t="str">
        <f t="shared" si="55"/>
        <v/>
      </c>
      <c r="AN55" s="316" t="str">
        <f t="shared" si="55"/>
        <v/>
      </c>
      <c r="AO55" s="316" t="str">
        <f t="shared" si="55"/>
        <v/>
      </c>
      <c r="AP55" s="316" t="str">
        <f t="shared" si="55"/>
        <v/>
      </c>
      <c r="AQ55" s="316" t="str">
        <f t="shared" si="55"/>
        <v/>
      </c>
      <c r="AR55" s="316" t="str">
        <f t="shared" si="55"/>
        <v/>
      </c>
      <c r="AS55" s="316" t="str">
        <f t="shared" si="55"/>
        <v/>
      </c>
      <c r="AT55" s="316" t="str">
        <f t="shared" si="55"/>
        <v/>
      </c>
      <c r="AU55" s="316" t="str">
        <f t="shared" si="55"/>
        <v/>
      </c>
      <c r="AV55" s="316" t="str">
        <f t="shared" si="56"/>
        <v/>
      </c>
      <c r="AW55" s="316" t="str">
        <f t="shared" si="56"/>
        <v/>
      </c>
      <c r="AX55" s="316" t="str">
        <f t="shared" si="56"/>
        <v/>
      </c>
      <c r="AY55" s="316" t="str">
        <f t="shared" si="56"/>
        <v/>
      </c>
      <c r="AZ55" s="316" t="str">
        <f t="shared" si="56"/>
        <v/>
      </c>
      <c r="BA55" s="316" t="str">
        <f t="shared" si="56"/>
        <v/>
      </c>
      <c r="BB55" s="316" t="str">
        <f t="shared" si="56"/>
        <v/>
      </c>
      <c r="BC55" s="316" t="str">
        <f t="shared" si="56"/>
        <v/>
      </c>
      <c r="BD55" s="316" t="str">
        <f t="shared" si="56"/>
        <v/>
      </c>
      <c r="BE55" s="316" t="str">
        <f t="shared" si="56"/>
        <v/>
      </c>
      <c r="BF55" s="316" t="str">
        <f t="shared" si="57"/>
        <v/>
      </c>
      <c r="BG55" s="316" t="str">
        <f t="shared" si="57"/>
        <v/>
      </c>
      <c r="BH55" s="316" t="str">
        <f t="shared" si="57"/>
        <v/>
      </c>
      <c r="BI55" s="316" t="str">
        <f t="shared" si="57"/>
        <v/>
      </c>
      <c r="BJ55" s="316" t="str">
        <f t="shared" si="57"/>
        <v/>
      </c>
      <c r="BK55" s="316" t="str">
        <f t="shared" si="57"/>
        <v/>
      </c>
      <c r="BL55" s="316" t="str">
        <f t="shared" si="57"/>
        <v/>
      </c>
      <c r="BM55" s="316" t="str">
        <f t="shared" si="57"/>
        <v/>
      </c>
      <c r="BN55" s="316" t="str">
        <f t="shared" si="57"/>
        <v/>
      </c>
      <c r="BO55" s="316" t="str">
        <f t="shared" si="57"/>
        <v/>
      </c>
      <c r="BP55" s="350" t="str">
        <f>IF(AI55="p",$B55,IF(AI55="r",$B55-$D55,""))</f>
        <v/>
      </c>
    </row>
    <row r="56" spans="1:68" x14ac:dyDescent="0.3">
      <c r="A56" s="372" t="s">
        <v>65</v>
      </c>
      <c r="B56" s="352">
        <v>0</v>
      </c>
      <c r="C56" s="353">
        <v>0.1</v>
      </c>
      <c r="D56" s="373">
        <f>C56*B56</f>
        <v>0</v>
      </c>
      <c r="E56" s="356"/>
      <c r="F56" s="356"/>
      <c r="G56" s="356" t="s">
        <v>145</v>
      </c>
      <c r="H56" s="356"/>
      <c r="I56" s="356"/>
      <c r="J56" s="356"/>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56"/>
      <c r="AH56" s="356"/>
      <c r="AI56" s="357"/>
      <c r="AJ56" s="329"/>
      <c r="AL56" s="358" t="str">
        <f t="shared" si="55"/>
        <v/>
      </c>
      <c r="AM56" s="359" t="str">
        <f t="shared" si="55"/>
        <v/>
      </c>
      <c r="AN56" s="359">
        <f t="shared" si="55"/>
        <v>0</v>
      </c>
      <c r="AO56" s="359" t="str">
        <f t="shared" si="55"/>
        <v/>
      </c>
      <c r="AP56" s="359" t="str">
        <f t="shared" si="55"/>
        <v/>
      </c>
      <c r="AQ56" s="359" t="str">
        <f t="shared" si="55"/>
        <v/>
      </c>
      <c r="AR56" s="359" t="str">
        <f t="shared" si="55"/>
        <v/>
      </c>
      <c r="AS56" s="359" t="str">
        <f t="shared" si="55"/>
        <v/>
      </c>
      <c r="AT56" s="359" t="str">
        <f t="shared" si="55"/>
        <v/>
      </c>
      <c r="AU56" s="359" t="str">
        <f t="shared" si="55"/>
        <v/>
      </c>
      <c r="AV56" s="359" t="str">
        <f t="shared" si="56"/>
        <v/>
      </c>
      <c r="AW56" s="359" t="str">
        <f t="shared" si="56"/>
        <v/>
      </c>
      <c r="AX56" s="359" t="str">
        <f t="shared" si="56"/>
        <v/>
      </c>
      <c r="AY56" s="359" t="str">
        <f t="shared" si="56"/>
        <v/>
      </c>
      <c r="AZ56" s="359" t="str">
        <f t="shared" si="56"/>
        <v/>
      </c>
      <c r="BA56" s="359" t="str">
        <f t="shared" si="56"/>
        <v/>
      </c>
      <c r="BB56" s="359" t="str">
        <f t="shared" si="56"/>
        <v/>
      </c>
      <c r="BC56" s="359" t="str">
        <f t="shared" si="56"/>
        <v/>
      </c>
      <c r="BD56" s="359" t="str">
        <f t="shared" si="56"/>
        <v/>
      </c>
      <c r="BE56" s="359" t="str">
        <f t="shared" si="56"/>
        <v/>
      </c>
      <c r="BF56" s="359" t="str">
        <f t="shared" si="57"/>
        <v/>
      </c>
      <c r="BG56" s="359" t="str">
        <f t="shared" si="57"/>
        <v/>
      </c>
      <c r="BH56" s="359" t="str">
        <f t="shared" si="57"/>
        <v/>
      </c>
      <c r="BI56" s="359" t="str">
        <f t="shared" si="57"/>
        <v/>
      </c>
      <c r="BJ56" s="359" t="str">
        <f t="shared" si="57"/>
        <v/>
      </c>
      <c r="BK56" s="359" t="str">
        <f t="shared" si="57"/>
        <v/>
      </c>
      <c r="BL56" s="359" t="str">
        <f t="shared" si="57"/>
        <v/>
      </c>
      <c r="BM56" s="359" t="str">
        <f t="shared" si="57"/>
        <v/>
      </c>
      <c r="BN56" s="359" t="str">
        <f t="shared" si="57"/>
        <v/>
      </c>
      <c r="BO56" s="359" t="str">
        <f t="shared" si="57"/>
        <v/>
      </c>
      <c r="BP56" s="360" t="str">
        <f>IF(AI56="p",$B56,IF(AI56="r",$B56-$D56,""))</f>
        <v/>
      </c>
    </row>
    <row r="57" spans="1:68" x14ac:dyDescent="0.3">
      <c r="A57" s="361" t="s">
        <v>47</v>
      </c>
      <c r="B57" s="362">
        <f>SUM(B54:B56)</f>
        <v>75000</v>
      </c>
      <c r="C57" s="363"/>
      <c r="D57" s="364">
        <f>SUM(D54:D56)</f>
        <v>15000</v>
      </c>
      <c r="E57" s="329"/>
      <c r="F57" s="329"/>
      <c r="G57" s="329"/>
      <c r="H57" s="329"/>
      <c r="I57" s="329"/>
      <c r="J57" s="329"/>
      <c r="K57" s="329"/>
      <c r="L57" s="329"/>
      <c r="M57" s="329"/>
      <c r="N57" s="329"/>
      <c r="O57" s="329"/>
      <c r="P57" s="329"/>
      <c r="Q57" s="329"/>
      <c r="R57" s="329"/>
      <c r="S57" s="329"/>
      <c r="T57" s="329"/>
      <c r="U57" s="329"/>
      <c r="V57" s="329"/>
      <c r="W57" s="329"/>
      <c r="X57" s="329"/>
      <c r="Y57" s="329"/>
      <c r="Z57" s="329"/>
      <c r="AA57" s="329"/>
      <c r="AB57" s="329"/>
      <c r="AC57" s="329"/>
      <c r="AD57" s="329"/>
      <c r="AE57" s="329"/>
      <c r="AF57" s="329"/>
      <c r="AG57" s="329"/>
      <c r="AH57" s="329"/>
      <c r="AI57" s="329"/>
      <c r="AJ57" s="329"/>
      <c r="AL57" s="349"/>
      <c r="AM57" s="316"/>
      <c r="AN57" s="316"/>
      <c r="AO57" s="316"/>
      <c r="AP57" s="316"/>
      <c r="AQ57" s="316"/>
      <c r="AR57" s="316"/>
      <c r="AS57" s="316"/>
      <c r="AT57" s="316"/>
      <c r="AU57" s="316"/>
      <c r="AV57" s="316"/>
      <c r="AW57" s="316"/>
      <c r="AX57" s="316"/>
      <c r="AY57" s="316"/>
      <c r="AZ57" s="316"/>
      <c r="BA57" s="316"/>
      <c r="BB57" s="316"/>
      <c r="BC57" s="316"/>
      <c r="BD57" s="316"/>
      <c r="BE57" s="316"/>
      <c r="BF57" s="316"/>
      <c r="BG57" s="316"/>
      <c r="BH57" s="316"/>
      <c r="BI57" s="316"/>
      <c r="BJ57" s="316"/>
      <c r="BK57" s="316"/>
      <c r="BL57" s="316"/>
      <c r="BM57" s="316"/>
      <c r="BN57" s="316"/>
      <c r="BO57" s="316"/>
      <c r="BP57" s="350"/>
    </row>
    <row r="58" spans="1:68" x14ac:dyDescent="0.3">
      <c r="C58" s="366"/>
      <c r="D58" s="31"/>
      <c r="E58" s="329"/>
      <c r="F58" s="329"/>
      <c r="G58" s="329"/>
      <c r="H58" s="329"/>
      <c r="I58" s="329"/>
      <c r="J58" s="329"/>
      <c r="K58" s="329"/>
      <c r="L58" s="329"/>
      <c r="M58" s="329"/>
      <c r="N58" s="329"/>
      <c r="O58" s="329"/>
      <c r="P58" s="329"/>
      <c r="Q58" s="329"/>
      <c r="R58" s="329"/>
      <c r="S58" s="329"/>
      <c r="T58" s="329"/>
      <c r="U58" s="329"/>
      <c r="V58" s="329"/>
      <c r="W58" s="329"/>
      <c r="X58" s="329"/>
      <c r="Y58" s="329"/>
      <c r="Z58" s="329"/>
      <c r="AA58" s="329"/>
      <c r="AB58" s="329"/>
      <c r="AC58" s="329"/>
      <c r="AD58" s="329"/>
      <c r="AE58" s="329"/>
      <c r="AF58" s="329"/>
      <c r="AG58" s="329"/>
      <c r="AH58" s="329"/>
      <c r="AI58" s="329"/>
      <c r="AJ58" s="329"/>
      <c r="AL58" s="349"/>
      <c r="AM58" s="316"/>
      <c r="AN58" s="316"/>
      <c r="AO58" s="316"/>
      <c r="AP58" s="316"/>
      <c r="AQ58" s="316"/>
      <c r="AR58" s="316"/>
      <c r="AS58" s="316"/>
      <c r="AT58" s="316"/>
      <c r="AU58" s="316"/>
      <c r="AV58" s="316"/>
      <c r="AW58" s="316"/>
      <c r="AX58" s="316"/>
      <c r="AY58" s="316"/>
      <c r="AZ58" s="316"/>
      <c r="BA58" s="316"/>
      <c r="BB58" s="316"/>
      <c r="BC58" s="316"/>
      <c r="BD58" s="316"/>
      <c r="BE58" s="316"/>
      <c r="BF58" s="316"/>
      <c r="BG58" s="316"/>
      <c r="BH58" s="316"/>
      <c r="BI58" s="316"/>
      <c r="BJ58" s="316"/>
      <c r="BK58" s="316"/>
      <c r="BL58" s="316"/>
      <c r="BM58" s="316"/>
      <c r="BN58" s="316"/>
      <c r="BO58" s="316"/>
      <c r="BP58" s="350"/>
    </row>
    <row r="59" spans="1:68" x14ac:dyDescent="0.3">
      <c r="A59" s="51" t="s">
        <v>185</v>
      </c>
      <c r="B59" s="52"/>
      <c r="C59" s="367"/>
      <c r="D59" s="368"/>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327"/>
      <c r="AF59" s="327"/>
      <c r="AG59" s="327"/>
      <c r="AH59" s="327"/>
      <c r="AI59" s="328"/>
      <c r="AJ59" s="329"/>
      <c r="AL59" s="330"/>
      <c r="AM59" s="331"/>
      <c r="AN59" s="331"/>
      <c r="AO59" s="331"/>
      <c r="AP59" s="331"/>
      <c r="AQ59" s="331"/>
      <c r="AR59" s="331"/>
      <c r="AS59" s="331"/>
      <c r="AT59" s="331"/>
      <c r="AU59" s="331"/>
      <c r="AV59" s="331"/>
      <c r="AW59" s="331"/>
      <c r="AX59" s="331"/>
      <c r="AY59" s="331"/>
      <c r="AZ59" s="331"/>
      <c r="BA59" s="331"/>
      <c r="BB59" s="331"/>
      <c r="BC59" s="331"/>
      <c r="BD59" s="331"/>
      <c r="BE59" s="331"/>
      <c r="BF59" s="331"/>
      <c r="BG59" s="331"/>
      <c r="BH59" s="331"/>
      <c r="BI59" s="331"/>
      <c r="BJ59" s="331"/>
      <c r="BK59" s="331"/>
      <c r="BL59" s="331"/>
      <c r="BM59" s="331"/>
      <c r="BN59" s="331"/>
      <c r="BO59" s="331"/>
      <c r="BP59" s="332"/>
    </row>
    <row r="60" spans="1:68" x14ac:dyDescent="0.3">
      <c r="A60" s="369"/>
      <c r="B60" s="334">
        <v>0</v>
      </c>
      <c r="C60" s="335">
        <v>0.1</v>
      </c>
      <c r="D60" s="370">
        <f>C60*B60</f>
        <v>0</v>
      </c>
      <c r="E60" s="338" t="s">
        <v>145</v>
      </c>
      <c r="F60" s="338"/>
      <c r="G60" s="338"/>
      <c r="H60" s="338"/>
      <c r="I60" s="338"/>
      <c r="J60" s="338"/>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8"/>
      <c r="AH60" s="338"/>
      <c r="AI60" s="339"/>
      <c r="AJ60" s="329"/>
      <c r="AL60" s="340">
        <f t="shared" ref="AL60:AU61" si="58">IF(E60="p",$B60,IF(E60="r",$B60-$D60,""))</f>
        <v>0</v>
      </c>
      <c r="AM60" s="341" t="str">
        <f t="shared" si="58"/>
        <v/>
      </c>
      <c r="AN60" s="341" t="str">
        <f t="shared" si="58"/>
        <v/>
      </c>
      <c r="AO60" s="341" t="str">
        <f t="shared" si="58"/>
        <v/>
      </c>
      <c r="AP60" s="341" t="str">
        <f t="shared" si="58"/>
        <v/>
      </c>
      <c r="AQ60" s="341" t="str">
        <f t="shared" si="58"/>
        <v/>
      </c>
      <c r="AR60" s="341" t="str">
        <f t="shared" si="58"/>
        <v/>
      </c>
      <c r="AS60" s="341" t="str">
        <f t="shared" si="58"/>
        <v/>
      </c>
      <c r="AT60" s="341" t="str">
        <f t="shared" si="58"/>
        <v/>
      </c>
      <c r="AU60" s="341" t="str">
        <f t="shared" si="58"/>
        <v/>
      </c>
      <c r="AV60" s="341" t="str">
        <f t="shared" ref="AV60:BE61" si="59">IF(O60="p",$B60,IF(O60="r",$B60-$D60,""))</f>
        <v/>
      </c>
      <c r="AW60" s="341" t="str">
        <f t="shared" si="59"/>
        <v/>
      </c>
      <c r="AX60" s="341" t="str">
        <f t="shared" si="59"/>
        <v/>
      </c>
      <c r="AY60" s="341" t="str">
        <f t="shared" si="59"/>
        <v/>
      </c>
      <c r="AZ60" s="341" t="str">
        <f t="shared" si="59"/>
        <v/>
      </c>
      <c r="BA60" s="341" t="str">
        <f t="shared" si="59"/>
        <v/>
      </c>
      <c r="BB60" s="341" t="str">
        <f t="shared" si="59"/>
        <v/>
      </c>
      <c r="BC60" s="341" t="str">
        <f t="shared" si="59"/>
        <v/>
      </c>
      <c r="BD60" s="341" t="str">
        <f t="shared" si="59"/>
        <v/>
      </c>
      <c r="BE60" s="341" t="str">
        <f t="shared" si="59"/>
        <v/>
      </c>
      <c r="BF60" s="341" t="str">
        <f t="shared" ref="BF60:BO61" si="60">IF(Y60="p",$B60,IF(Y60="r",$B60-$D60,""))</f>
        <v/>
      </c>
      <c r="BG60" s="341" t="str">
        <f t="shared" si="60"/>
        <v/>
      </c>
      <c r="BH60" s="341" t="str">
        <f t="shared" si="60"/>
        <v/>
      </c>
      <c r="BI60" s="341" t="str">
        <f t="shared" si="60"/>
        <v/>
      </c>
      <c r="BJ60" s="341" t="str">
        <f t="shared" si="60"/>
        <v/>
      </c>
      <c r="BK60" s="341" t="str">
        <f t="shared" si="60"/>
        <v/>
      </c>
      <c r="BL60" s="341" t="str">
        <f t="shared" si="60"/>
        <v/>
      </c>
      <c r="BM60" s="341" t="str">
        <f t="shared" si="60"/>
        <v/>
      </c>
      <c r="BN60" s="341" t="str">
        <f t="shared" si="60"/>
        <v/>
      </c>
      <c r="BO60" s="341" t="str">
        <f t="shared" si="60"/>
        <v/>
      </c>
      <c r="BP60" s="342" t="str">
        <f>IF(AI60="p",$B60,IF(AI60="r",$B60-$D60,""))</f>
        <v/>
      </c>
    </row>
    <row r="61" spans="1:68" x14ac:dyDescent="0.3">
      <c r="A61" s="372"/>
      <c r="B61" s="352">
        <v>0</v>
      </c>
      <c r="C61" s="353">
        <v>0.1</v>
      </c>
      <c r="D61" s="373">
        <f>C61*B61</f>
        <v>0</v>
      </c>
      <c r="E61" s="356" t="s">
        <v>145</v>
      </c>
      <c r="F61" s="356"/>
      <c r="G61" s="356"/>
      <c r="H61" s="356"/>
      <c r="I61" s="356"/>
      <c r="J61" s="356"/>
      <c r="K61" s="356"/>
      <c r="L61" s="356"/>
      <c r="M61" s="356"/>
      <c r="N61" s="356"/>
      <c r="O61" s="356"/>
      <c r="P61" s="356"/>
      <c r="Q61" s="356"/>
      <c r="R61" s="356"/>
      <c r="S61" s="356"/>
      <c r="T61" s="356"/>
      <c r="U61" s="356"/>
      <c r="V61" s="356"/>
      <c r="W61" s="356"/>
      <c r="X61" s="356"/>
      <c r="Y61" s="356"/>
      <c r="Z61" s="356"/>
      <c r="AA61" s="356"/>
      <c r="AB61" s="356"/>
      <c r="AC61" s="356"/>
      <c r="AD61" s="356"/>
      <c r="AE61" s="356"/>
      <c r="AF61" s="356"/>
      <c r="AG61" s="356"/>
      <c r="AH61" s="356"/>
      <c r="AI61" s="357"/>
      <c r="AJ61" s="329"/>
      <c r="AL61" s="358">
        <f t="shared" si="58"/>
        <v>0</v>
      </c>
      <c r="AM61" s="359" t="str">
        <f t="shared" si="58"/>
        <v/>
      </c>
      <c r="AN61" s="359" t="str">
        <f t="shared" si="58"/>
        <v/>
      </c>
      <c r="AO61" s="359" t="str">
        <f t="shared" si="58"/>
        <v/>
      </c>
      <c r="AP61" s="359" t="str">
        <f t="shared" si="58"/>
        <v/>
      </c>
      <c r="AQ61" s="359" t="str">
        <f t="shared" si="58"/>
        <v/>
      </c>
      <c r="AR61" s="359" t="str">
        <f t="shared" si="58"/>
        <v/>
      </c>
      <c r="AS61" s="359" t="str">
        <f t="shared" si="58"/>
        <v/>
      </c>
      <c r="AT61" s="359" t="str">
        <f t="shared" si="58"/>
        <v/>
      </c>
      <c r="AU61" s="359" t="str">
        <f t="shared" si="58"/>
        <v/>
      </c>
      <c r="AV61" s="359" t="str">
        <f t="shared" si="59"/>
        <v/>
      </c>
      <c r="AW61" s="359" t="str">
        <f t="shared" si="59"/>
        <v/>
      </c>
      <c r="AX61" s="359" t="str">
        <f t="shared" si="59"/>
        <v/>
      </c>
      <c r="AY61" s="359" t="str">
        <f t="shared" si="59"/>
        <v/>
      </c>
      <c r="AZ61" s="359" t="str">
        <f t="shared" si="59"/>
        <v/>
      </c>
      <c r="BA61" s="359" t="str">
        <f t="shared" si="59"/>
        <v/>
      </c>
      <c r="BB61" s="359" t="str">
        <f t="shared" si="59"/>
        <v/>
      </c>
      <c r="BC61" s="359" t="str">
        <f t="shared" si="59"/>
        <v/>
      </c>
      <c r="BD61" s="359" t="str">
        <f t="shared" si="59"/>
        <v/>
      </c>
      <c r="BE61" s="359" t="str">
        <f t="shared" si="59"/>
        <v/>
      </c>
      <c r="BF61" s="359" t="str">
        <f t="shared" si="60"/>
        <v/>
      </c>
      <c r="BG61" s="359" t="str">
        <f t="shared" si="60"/>
        <v/>
      </c>
      <c r="BH61" s="359" t="str">
        <f t="shared" si="60"/>
        <v/>
      </c>
      <c r="BI61" s="359" t="str">
        <f t="shared" si="60"/>
        <v/>
      </c>
      <c r="BJ61" s="359" t="str">
        <f t="shared" si="60"/>
        <v/>
      </c>
      <c r="BK61" s="359" t="str">
        <f t="shared" si="60"/>
        <v/>
      </c>
      <c r="BL61" s="359" t="str">
        <f t="shared" si="60"/>
        <v/>
      </c>
      <c r="BM61" s="359" t="str">
        <f t="shared" si="60"/>
        <v/>
      </c>
      <c r="BN61" s="359" t="str">
        <f t="shared" si="60"/>
        <v/>
      </c>
      <c r="BO61" s="359" t="str">
        <f t="shared" si="60"/>
        <v/>
      </c>
      <c r="BP61" s="360" t="str">
        <f>IF(AI61="p",$B61,IF(AI61="r",$B61-$D61,""))</f>
        <v/>
      </c>
    </row>
    <row r="62" spans="1:68" x14ac:dyDescent="0.3">
      <c r="A62" s="361" t="s">
        <v>47</v>
      </c>
      <c r="B62" s="362">
        <f>SUM(B60:B61)</f>
        <v>0</v>
      </c>
      <c r="C62" s="363"/>
      <c r="D62" s="364">
        <f>SUM(D60:D61)</f>
        <v>0</v>
      </c>
      <c r="E62" s="329"/>
      <c r="F62" s="329"/>
      <c r="G62" s="329"/>
      <c r="H62" s="329"/>
      <c r="I62" s="329"/>
      <c r="J62" s="329"/>
      <c r="K62" s="329"/>
      <c r="L62" s="329"/>
      <c r="M62" s="329"/>
      <c r="N62" s="329"/>
      <c r="O62" s="329"/>
      <c r="P62" s="329"/>
      <c r="Q62" s="329"/>
      <c r="R62" s="329"/>
      <c r="S62" s="329"/>
      <c r="T62" s="329"/>
      <c r="U62" s="329"/>
      <c r="V62" s="329"/>
      <c r="W62" s="329"/>
      <c r="X62" s="329"/>
      <c r="Y62" s="329"/>
      <c r="Z62" s="329"/>
      <c r="AA62" s="329"/>
      <c r="AB62" s="329"/>
      <c r="AC62" s="329"/>
      <c r="AD62" s="329"/>
      <c r="AE62" s="329"/>
      <c r="AF62" s="329"/>
      <c r="AG62" s="329"/>
      <c r="AH62" s="329"/>
      <c r="AI62" s="329"/>
      <c r="AJ62" s="329"/>
      <c r="AL62" s="349"/>
      <c r="AM62" s="316"/>
      <c r="AN62" s="316"/>
      <c r="AO62" s="316"/>
      <c r="AP62" s="316"/>
      <c r="AQ62" s="316"/>
      <c r="AR62" s="316"/>
      <c r="AS62" s="316"/>
      <c r="AT62" s="316"/>
      <c r="AU62" s="316"/>
      <c r="AV62" s="316"/>
      <c r="AW62" s="316"/>
      <c r="AX62" s="316"/>
      <c r="AY62" s="316"/>
      <c r="AZ62" s="316"/>
      <c r="BA62" s="316"/>
      <c r="BB62" s="316"/>
      <c r="BC62" s="316"/>
      <c r="BD62" s="316"/>
      <c r="BE62" s="316"/>
      <c r="BF62" s="316"/>
      <c r="BG62" s="316"/>
      <c r="BH62" s="316"/>
      <c r="BI62" s="316"/>
      <c r="BJ62" s="316"/>
      <c r="BK62" s="316"/>
      <c r="BL62" s="316"/>
      <c r="BM62" s="316"/>
      <c r="BN62" s="316"/>
      <c r="BO62" s="316"/>
      <c r="BP62" s="350"/>
    </row>
    <row r="63" spans="1:68" x14ac:dyDescent="0.3">
      <c r="B63" s="29"/>
      <c r="C63" s="29"/>
      <c r="D63" s="29"/>
      <c r="E63" s="329"/>
      <c r="F63" s="329"/>
      <c r="G63" s="329"/>
      <c r="H63" s="329"/>
      <c r="I63" s="329"/>
      <c r="J63" s="329"/>
      <c r="K63" s="329"/>
      <c r="L63" s="329"/>
      <c r="M63" s="329"/>
      <c r="N63" s="329"/>
      <c r="O63" s="329"/>
      <c r="P63" s="329"/>
      <c r="Q63" s="329"/>
      <c r="R63" s="329"/>
      <c r="S63" s="329"/>
      <c r="T63" s="329"/>
      <c r="U63" s="329"/>
      <c r="V63" s="329"/>
      <c r="W63" s="329"/>
      <c r="X63" s="329"/>
      <c r="Y63" s="329"/>
      <c r="Z63" s="329"/>
      <c r="AA63" s="329"/>
      <c r="AB63" s="329"/>
      <c r="AC63" s="329"/>
      <c r="AD63" s="329"/>
      <c r="AE63" s="329"/>
      <c r="AF63" s="329"/>
      <c r="AG63" s="329"/>
      <c r="AH63" s="329"/>
      <c r="AI63" s="329"/>
      <c r="AJ63" s="329"/>
      <c r="AL63" s="349"/>
      <c r="AM63" s="316"/>
      <c r="AN63" s="316"/>
      <c r="AO63" s="316"/>
      <c r="AP63" s="316"/>
      <c r="AQ63" s="316"/>
      <c r="AR63" s="316"/>
      <c r="AS63" s="316"/>
      <c r="AT63" s="316"/>
      <c r="AU63" s="316"/>
      <c r="AV63" s="316"/>
      <c r="AW63" s="316"/>
      <c r="AX63" s="316"/>
      <c r="AY63" s="316"/>
      <c r="AZ63" s="316"/>
      <c r="BA63" s="316"/>
      <c r="BB63" s="316"/>
      <c r="BC63" s="316"/>
      <c r="BD63" s="316"/>
      <c r="BE63" s="316"/>
      <c r="BF63" s="316"/>
      <c r="BG63" s="316"/>
      <c r="BH63" s="316"/>
      <c r="BI63" s="316"/>
      <c r="BJ63" s="316"/>
      <c r="BK63" s="316"/>
      <c r="BL63" s="316"/>
      <c r="BM63" s="316"/>
      <c r="BN63" s="316"/>
      <c r="BO63" s="316"/>
      <c r="BP63" s="350"/>
    </row>
    <row r="64" spans="1:68" x14ac:dyDescent="0.3">
      <c r="A64" s="51" t="s">
        <v>186</v>
      </c>
      <c r="B64" s="52"/>
      <c r="C64" s="367"/>
      <c r="D64" s="368"/>
      <c r="E64" s="327"/>
      <c r="F64" s="327"/>
      <c r="G64" s="327"/>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8"/>
      <c r="AJ64" s="329"/>
      <c r="AL64" s="330"/>
      <c r="AM64" s="331"/>
      <c r="AN64" s="331"/>
      <c r="AO64" s="331"/>
      <c r="AP64" s="331"/>
      <c r="AQ64" s="331"/>
      <c r="AR64" s="331"/>
      <c r="AS64" s="331"/>
      <c r="AT64" s="331"/>
      <c r="AU64" s="331"/>
      <c r="AV64" s="331"/>
      <c r="AW64" s="331"/>
      <c r="AX64" s="331"/>
      <c r="AY64" s="331"/>
      <c r="AZ64" s="331"/>
      <c r="BA64" s="331"/>
      <c r="BB64" s="331"/>
      <c r="BC64" s="331"/>
      <c r="BD64" s="331"/>
      <c r="BE64" s="331"/>
      <c r="BF64" s="331"/>
      <c r="BG64" s="331"/>
      <c r="BH64" s="331"/>
      <c r="BI64" s="331"/>
      <c r="BJ64" s="331"/>
      <c r="BK64" s="331"/>
      <c r="BL64" s="331"/>
      <c r="BM64" s="331"/>
      <c r="BN64" s="331"/>
      <c r="BO64" s="331"/>
      <c r="BP64" s="332"/>
    </row>
    <row r="65" spans="1:68" x14ac:dyDescent="0.3">
      <c r="A65" s="374" t="s">
        <v>187</v>
      </c>
      <c r="B65" s="313">
        <v>23000</v>
      </c>
      <c r="C65" s="144">
        <v>1</v>
      </c>
      <c r="D65" s="315">
        <f>C65*B65</f>
        <v>23000</v>
      </c>
      <c r="E65" s="375" t="s">
        <v>145</v>
      </c>
      <c r="F65" s="375"/>
      <c r="G65" s="375"/>
      <c r="H65" s="375"/>
      <c r="I65" s="375"/>
      <c r="J65" s="375"/>
      <c r="K65" s="375"/>
      <c r="L65" s="375"/>
      <c r="M65" s="375"/>
      <c r="N65" s="375"/>
      <c r="O65" s="375"/>
      <c r="P65" s="375"/>
      <c r="Q65" s="375"/>
      <c r="R65" s="375"/>
      <c r="S65" s="375"/>
      <c r="T65" s="375"/>
      <c r="U65" s="375"/>
      <c r="V65" s="375"/>
      <c r="W65" s="375"/>
      <c r="X65" s="375"/>
      <c r="Y65" s="375"/>
      <c r="Z65" s="375"/>
      <c r="AA65" s="375"/>
      <c r="AB65" s="375"/>
      <c r="AC65" s="375"/>
      <c r="AD65" s="375"/>
      <c r="AE65" s="375"/>
      <c r="AF65" s="375"/>
      <c r="AG65" s="375"/>
      <c r="AH65" s="375"/>
      <c r="AI65" s="376"/>
      <c r="AJ65" s="329"/>
      <c r="AL65" s="377">
        <f t="shared" ref="AL65:BP65" si="61">IF(E65="p",$B65,IF(E65="r",$B65-$D65,""))</f>
        <v>23000</v>
      </c>
      <c r="AM65" s="378" t="str">
        <f t="shared" si="61"/>
        <v/>
      </c>
      <c r="AN65" s="378" t="str">
        <f t="shared" si="61"/>
        <v/>
      </c>
      <c r="AO65" s="378" t="str">
        <f t="shared" si="61"/>
        <v/>
      </c>
      <c r="AP65" s="378" t="str">
        <f t="shared" si="61"/>
        <v/>
      </c>
      <c r="AQ65" s="378" t="str">
        <f t="shared" si="61"/>
        <v/>
      </c>
      <c r="AR65" s="378" t="str">
        <f t="shared" si="61"/>
        <v/>
      </c>
      <c r="AS65" s="378" t="str">
        <f t="shared" si="61"/>
        <v/>
      </c>
      <c r="AT65" s="378" t="str">
        <f t="shared" si="61"/>
        <v/>
      </c>
      <c r="AU65" s="378" t="str">
        <f t="shared" si="61"/>
        <v/>
      </c>
      <c r="AV65" s="378" t="str">
        <f t="shared" si="61"/>
        <v/>
      </c>
      <c r="AW65" s="378" t="str">
        <f t="shared" si="61"/>
        <v/>
      </c>
      <c r="AX65" s="378" t="str">
        <f t="shared" si="61"/>
        <v/>
      </c>
      <c r="AY65" s="378" t="str">
        <f t="shared" si="61"/>
        <v/>
      </c>
      <c r="AZ65" s="378" t="str">
        <f t="shared" si="61"/>
        <v/>
      </c>
      <c r="BA65" s="378" t="str">
        <f t="shared" si="61"/>
        <v/>
      </c>
      <c r="BB65" s="378" t="str">
        <f t="shared" si="61"/>
        <v/>
      </c>
      <c r="BC65" s="378" t="str">
        <f t="shared" si="61"/>
        <v/>
      </c>
      <c r="BD65" s="378" t="str">
        <f t="shared" si="61"/>
        <v/>
      </c>
      <c r="BE65" s="378" t="str">
        <f t="shared" si="61"/>
        <v/>
      </c>
      <c r="BF65" s="378" t="str">
        <f t="shared" si="61"/>
        <v/>
      </c>
      <c r="BG65" s="378" t="str">
        <f t="shared" si="61"/>
        <v/>
      </c>
      <c r="BH65" s="378" t="str">
        <f t="shared" si="61"/>
        <v/>
      </c>
      <c r="BI65" s="378" t="str">
        <f t="shared" si="61"/>
        <v/>
      </c>
      <c r="BJ65" s="378" t="str">
        <f t="shared" si="61"/>
        <v/>
      </c>
      <c r="BK65" s="378" t="str">
        <f t="shared" si="61"/>
        <v/>
      </c>
      <c r="BL65" s="378" t="str">
        <f t="shared" si="61"/>
        <v/>
      </c>
      <c r="BM65" s="378" t="str">
        <f t="shared" si="61"/>
        <v/>
      </c>
      <c r="BN65" s="378" t="str">
        <f t="shared" si="61"/>
        <v/>
      </c>
      <c r="BO65" s="378" t="str">
        <f t="shared" si="61"/>
        <v/>
      </c>
      <c r="BP65" s="379" t="str">
        <f t="shared" si="61"/>
        <v/>
      </c>
    </row>
    <row r="66" spans="1:68" x14ac:dyDescent="0.3">
      <c r="D66" s="31"/>
      <c r="E66" s="329"/>
      <c r="F66" s="329"/>
      <c r="G66" s="329"/>
      <c r="H66" s="329"/>
      <c r="I66" s="329"/>
      <c r="J66" s="329"/>
      <c r="K66" s="329"/>
      <c r="L66" s="329"/>
      <c r="M66" s="329"/>
      <c r="N66" s="329"/>
      <c r="O66" s="329"/>
      <c r="P66" s="329"/>
      <c r="Q66" s="329"/>
      <c r="R66" s="329"/>
      <c r="S66" s="329"/>
      <c r="T66" s="329"/>
      <c r="U66" s="329"/>
      <c r="V66" s="329"/>
      <c r="W66" s="329"/>
      <c r="X66" s="329"/>
      <c r="Y66" s="329"/>
      <c r="Z66" s="329"/>
      <c r="AA66" s="329"/>
      <c r="AB66" s="329"/>
      <c r="AC66" s="329"/>
      <c r="AD66" s="329"/>
      <c r="AE66" s="329"/>
      <c r="AF66" s="329"/>
      <c r="AG66" s="329"/>
      <c r="AH66" s="329"/>
      <c r="AI66" s="329"/>
      <c r="AJ66" s="329"/>
      <c r="AL66" s="349"/>
      <c r="AM66" s="316"/>
      <c r="AN66" s="316"/>
      <c r="AO66" s="316"/>
      <c r="AP66" s="316"/>
      <c r="AQ66" s="316"/>
      <c r="AR66" s="316"/>
      <c r="AS66" s="316"/>
      <c r="AT66" s="316"/>
      <c r="AU66" s="316"/>
      <c r="AV66" s="316"/>
      <c r="AW66" s="316"/>
      <c r="AX66" s="316"/>
      <c r="AY66" s="316"/>
      <c r="AZ66" s="316"/>
      <c r="BA66" s="316"/>
      <c r="BB66" s="316"/>
      <c r="BC66" s="316"/>
      <c r="BD66" s="316"/>
      <c r="BE66" s="316"/>
      <c r="BF66" s="316"/>
      <c r="BG66" s="316"/>
      <c r="BH66" s="316"/>
      <c r="BI66" s="316"/>
      <c r="BJ66" s="316"/>
      <c r="BK66" s="316"/>
      <c r="BL66" s="316"/>
      <c r="BM66" s="316"/>
      <c r="BN66" s="316"/>
      <c r="BO66" s="316"/>
      <c r="BP66" s="350"/>
    </row>
    <row r="67" spans="1:68" x14ac:dyDescent="0.3">
      <c r="A67" s="380" t="s">
        <v>188</v>
      </c>
      <c r="B67" s="381">
        <f>B11+B26+B36+B45+B51+B57+B62+B65</f>
        <v>521240</v>
      </c>
      <c r="C67" s="381"/>
      <c r="D67" s="382">
        <f>D11+D26+D36+D45+D51+D57+D62+D65</f>
        <v>67970</v>
      </c>
      <c r="AL67" s="377">
        <f t="shared" ref="AL67:BP67" si="62">SUM(AL4:AL66)</f>
        <v>390790</v>
      </c>
      <c r="AM67" s="378">
        <f t="shared" si="62"/>
        <v>1000</v>
      </c>
      <c r="AN67" s="378">
        <f t="shared" si="62"/>
        <v>77750</v>
      </c>
      <c r="AO67" s="378">
        <f t="shared" si="62"/>
        <v>40000</v>
      </c>
      <c r="AP67" s="378">
        <f t="shared" si="62"/>
        <v>5650</v>
      </c>
      <c r="AQ67" s="378">
        <f t="shared" si="62"/>
        <v>0</v>
      </c>
      <c r="AR67" s="378">
        <f t="shared" si="62"/>
        <v>0</v>
      </c>
      <c r="AS67" s="378">
        <f t="shared" si="62"/>
        <v>11800</v>
      </c>
      <c r="AT67" s="378">
        <f t="shared" si="62"/>
        <v>600</v>
      </c>
      <c r="AU67" s="378">
        <f t="shared" si="62"/>
        <v>0</v>
      </c>
      <c r="AV67" s="378">
        <f t="shared" si="62"/>
        <v>14680</v>
      </c>
      <c r="AW67" s="378">
        <f t="shared" si="62"/>
        <v>0</v>
      </c>
      <c r="AX67" s="378">
        <f t="shared" si="62"/>
        <v>600</v>
      </c>
      <c r="AY67" s="378">
        <f t="shared" si="62"/>
        <v>1000</v>
      </c>
      <c r="AZ67" s="378">
        <f t="shared" si="62"/>
        <v>0</v>
      </c>
      <c r="BA67" s="378">
        <f t="shared" si="62"/>
        <v>93350</v>
      </c>
      <c r="BB67" s="378">
        <f t="shared" si="62"/>
        <v>1600</v>
      </c>
      <c r="BC67" s="378">
        <f t="shared" si="62"/>
        <v>21600</v>
      </c>
      <c r="BD67" s="378">
        <f t="shared" si="62"/>
        <v>13500</v>
      </c>
      <c r="BE67" s="378">
        <f t="shared" si="62"/>
        <v>1000</v>
      </c>
      <c r="BF67" s="378">
        <f t="shared" si="62"/>
        <v>14280</v>
      </c>
      <c r="BG67" s="378">
        <f t="shared" si="62"/>
        <v>0</v>
      </c>
      <c r="BH67" s="378">
        <f t="shared" si="62"/>
        <v>1000</v>
      </c>
      <c r="BI67" s="378">
        <f t="shared" si="62"/>
        <v>0</v>
      </c>
      <c r="BJ67" s="378">
        <f t="shared" si="62"/>
        <v>600</v>
      </c>
      <c r="BK67" s="378">
        <f t="shared" si="62"/>
        <v>1000</v>
      </c>
      <c r="BL67" s="378">
        <f t="shared" si="62"/>
        <v>0</v>
      </c>
      <c r="BM67" s="378">
        <f t="shared" si="62"/>
        <v>0</v>
      </c>
      <c r="BN67" s="378">
        <f t="shared" si="62"/>
        <v>1600</v>
      </c>
      <c r="BO67" s="378">
        <f t="shared" si="62"/>
        <v>0</v>
      </c>
      <c r="BP67" s="379">
        <f t="shared" si="62"/>
        <v>0</v>
      </c>
    </row>
    <row r="68" spans="1:68" x14ac:dyDescent="0.3">
      <c r="A68" s="383" t="s">
        <v>189</v>
      </c>
      <c r="B68" s="384">
        <f>B67-B65</f>
        <v>498240</v>
      </c>
      <c r="C68" s="384"/>
      <c r="D68" s="385"/>
    </row>
    <row r="69" spans="1:68" x14ac:dyDescent="0.3">
      <c r="B69" s="31"/>
    </row>
    <row r="70" spans="1:68" x14ac:dyDescent="0.3">
      <c r="A70" s="29" t="s">
        <v>190</v>
      </c>
    </row>
    <row r="71" spans="1:68" x14ac:dyDescent="0.3">
      <c r="A71" s="29" t="s">
        <v>191</v>
      </c>
    </row>
  </sheetData>
  <sheetProtection password="8D83" sheet="1" objects="1" scenarios="1"/>
  <phoneticPr fontId="8" type="noConversion"/>
  <printOptions gridLinesSet="0"/>
  <pageMargins left="0.75" right="0.75" top="1" bottom="1" header="0.5" footer="0.5"/>
  <pageSetup paperSize="9" scale="93" fitToHeight="3" orientation="landscape" horizontalDpi="300" verticalDpi="300" r:id="rId1"/>
  <headerFooter alignWithMargins="0">
    <oddHeader>&amp;A</oddHeader>
    <oddFooter>Page &amp;P</oddFooter>
  </headerFooter>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52"/>
  <sheetViews>
    <sheetView showGridLines="0" zoomScale="75" workbookViewId="0">
      <selection activeCell="I35" sqref="I35"/>
    </sheetView>
  </sheetViews>
  <sheetFormatPr defaultColWidth="10.33203125" defaultRowHeight="15" x14ac:dyDescent="0.25"/>
  <cols>
    <col min="1" max="1" width="22.44140625" style="389" customWidth="1"/>
    <col min="2" max="2" width="11.5546875" style="389" customWidth="1"/>
    <col min="3" max="3" width="13.109375" style="389" customWidth="1"/>
    <col min="4" max="4" width="10.33203125" style="389" customWidth="1"/>
    <col min="5" max="8" width="11.6640625" style="389" customWidth="1"/>
    <col min="9" max="9" width="13.109375" style="389" customWidth="1"/>
    <col min="10" max="12" width="11.6640625" style="389" customWidth="1"/>
    <col min="13" max="13" width="13.109375" style="389" customWidth="1"/>
    <col min="14" max="19" width="11.6640625" style="389" customWidth="1"/>
    <col min="20" max="20" width="12.33203125" style="389" customWidth="1"/>
    <col min="21" max="23" width="23.44140625" style="389" customWidth="1"/>
    <col min="24" max="16384" width="10.33203125" style="389"/>
  </cols>
  <sheetData>
    <row r="1" spans="1:34" ht="24.6" x14ac:dyDescent="0.4">
      <c r="A1" s="386" t="s">
        <v>192</v>
      </c>
      <c r="B1" s="387"/>
      <c r="C1" s="387"/>
      <c r="D1" s="387"/>
      <c r="E1" s="387"/>
      <c r="F1" s="387"/>
      <c r="G1" s="387"/>
      <c r="H1" s="387"/>
      <c r="I1" s="387"/>
      <c r="J1" s="387"/>
      <c r="K1" s="387"/>
      <c r="L1" s="387"/>
      <c r="M1" s="387"/>
      <c r="N1" s="387"/>
      <c r="O1" s="387"/>
      <c r="P1" s="387"/>
      <c r="Q1" s="387"/>
      <c r="R1" s="387"/>
      <c r="S1" s="387"/>
      <c r="T1" s="387"/>
      <c r="U1" s="387"/>
      <c r="V1" s="388"/>
      <c r="W1" s="388"/>
      <c r="X1" s="388"/>
      <c r="Y1" s="387"/>
      <c r="Z1" s="387"/>
      <c r="AA1" s="387"/>
      <c r="AB1" s="387"/>
      <c r="AC1" s="387"/>
      <c r="AD1" s="387"/>
      <c r="AE1" s="387"/>
      <c r="AF1" s="387"/>
      <c r="AG1" s="387">
        <v>6</v>
      </c>
      <c r="AH1" s="387">
        <v>2050</v>
      </c>
    </row>
    <row r="2" spans="1:34" x14ac:dyDescent="0.25">
      <c r="A2" s="387" t="s">
        <v>193</v>
      </c>
      <c r="B2" s="387"/>
      <c r="C2" s="390">
        <f>AG1/100</f>
        <v>0.06</v>
      </c>
      <c r="D2" s="387"/>
      <c r="E2" s="387"/>
      <c r="F2" s="387"/>
      <c r="G2" s="387"/>
      <c r="H2" s="387"/>
      <c r="I2" s="387"/>
      <c r="J2" s="387"/>
      <c r="K2" s="387"/>
      <c r="L2" s="387"/>
      <c r="M2" s="387"/>
      <c r="N2" s="387"/>
      <c r="O2" s="387"/>
      <c r="P2" s="387"/>
      <c r="Q2" s="387"/>
      <c r="R2" s="387"/>
      <c r="S2" s="387"/>
      <c r="T2" s="387"/>
      <c r="U2" s="387"/>
      <c r="V2" s="388"/>
      <c r="W2" s="388"/>
      <c r="X2" s="388"/>
      <c r="Y2" s="387"/>
      <c r="Z2" s="387"/>
      <c r="AA2" s="387"/>
      <c r="AB2" s="387"/>
      <c r="AC2" s="387"/>
      <c r="AD2" s="387"/>
      <c r="AE2" s="387"/>
      <c r="AF2" s="387"/>
      <c r="AG2" s="387"/>
      <c r="AH2" s="387"/>
    </row>
    <row r="3" spans="1:34" x14ac:dyDescent="0.25">
      <c r="A3" s="387" t="s">
        <v>194</v>
      </c>
      <c r="B3" s="387"/>
      <c r="C3" s="391">
        <f>'Year 12+'!H14/'Year 12+'!D5</f>
        <v>14</v>
      </c>
      <c r="D3" s="387"/>
      <c r="E3" s="387"/>
      <c r="F3" s="387"/>
      <c r="G3" s="387"/>
      <c r="H3" s="387"/>
      <c r="I3" s="387"/>
      <c r="J3" s="387"/>
      <c r="K3" s="387"/>
      <c r="L3" s="387"/>
      <c r="M3" s="387"/>
      <c r="N3" s="387"/>
      <c r="O3" s="387"/>
      <c r="P3" s="387"/>
      <c r="Q3" s="387"/>
      <c r="R3" s="387"/>
      <c r="S3" s="387"/>
      <c r="T3" s="387"/>
      <c r="U3" s="387"/>
      <c r="V3" s="388"/>
      <c r="W3" s="388"/>
      <c r="X3" s="388"/>
      <c r="Y3" s="387"/>
      <c r="Z3" s="387"/>
      <c r="AA3" s="387"/>
      <c r="AB3" s="387"/>
      <c r="AC3" s="387"/>
      <c r="AD3" s="387"/>
      <c r="AE3" s="387"/>
      <c r="AF3" s="387"/>
      <c r="AG3" s="387"/>
      <c r="AH3" s="387"/>
    </row>
    <row r="4" spans="1:34" x14ac:dyDescent="0.25">
      <c r="A4" s="387" t="s">
        <v>195</v>
      </c>
      <c r="B4" s="387"/>
      <c r="C4" s="392">
        <f>'Price and Yields'!D16</f>
        <v>14.295000000000002</v>
      </c>
      <c r="D4" s="387"/>
      <c r="E4" s="387"/>
      <c r="F4" s="387"/>
      <c r="G4" s="387"/>
      <c r="H4" s="387"/>
      <c r="I4" s="387"/>
      <c r="J4" s="387"/>
      <c r="K4" s="387"/>
      <c r="L4" s="387"/>
      <c r="M4" s="387"/>
      <c r="N4" s="387"/>
      <c r="O4" s="387"/>
      <c r="P4" s="387"/>
      <c r="Q4" s="387"/>
      <c r="R4" s="387"/>
      <c r="S4" s="387"/>
      <c r="T4" s="387"/>
      <c r="U4" s="387"/>
      <c r="V4" s="388"/>
      <c r="W4" s="388"/>
      <c r="X4" s="388"/>
      <c r="Y4" s="387"/>
      <c r="Z4" s="387"/>
      <c r="AA4" s="387"/>
      <c r="AB4" s="387"/>
      <c r="AC4" s="387"/>
      <c r="AD4" s="387"/>
      <c r="AE4" s="387"/>
      <c r="AF4" s="387"/>
      <c r="AG4" s="387"/>
      <c r="AH4" s="387"/>
    </row>
    <row r="5" spans="1:34" x14ac:dyDescent="0.25">
      <c r="A5" s="387" t="s">
        <v>196</v>
      </c>
      <c r="B5" s="387"/>
      <c r="C5" s="392">
        <f>'Farm Parameters'!D4</f>
        <v>14.285714285714286</v>
      </c>
      <c r="D5" s="387"/>
      <c r="E5" s="387"/>
      <c r="F5" s="387"/>
      <c r="G5" s="387"/>
      <c r="H5" s="387"/>
      <c r="I5" s="387"/>
      <c r="J5" s="387"/>
      <c r="K5" s="387"/>
      <c r="L5" s="387"/>
      <c r="M5" s="387"/>
      <c r="N5" s="387"/>
      <c r="O5" s="387"/>
      <c r="P5" s="387"/>
      <c r="Q5" s="387"/>
      <c r="R5" s="387"/>
      <c r="S5" s="387"/>
      <c r="T5" s="387"/>
      <c r="U5" s="387"/>
      <c r="V5" s="388"/>
      <c r="W5" s="388"/>
      <c r="X5" s="388"/>
      <c r="Y5" s="387"/>
      <c r="Z5" s="387"/>
      <c r="AA5" s="387"/>
      <c r="AB5" s="387"/>
      <c r="AC5" s="387"/>
      <c r="AD5" s="387"/>
      <c r="AE5" s="387"/>
      <c r="AF5" s="387"/>
      <c r="AG5" s="387"/>
      <c r="AH5" s="387"/>
    </row>
    <row r="6" spans="1:34" x14ac:dyDescent="0.25">
      <c r="A6" s="387" t="s">
        <v>197</v>
      </c>
      <c r="B6" s="387"/>
      <c r="C6" s="393">
        <f>'Farm Parameters'!D8</f>
        <v>2000</v>
      </c>
      <c r="D6" s="387"/>
      <c r="E6" s="387"/>
      <c r="F6" s="387"/>
      <c r="G6" s="387"/>
      <c r="H6" s="387"/>
      <c r="I6" s="387"/>
      <c r="J6" s="387"/>
      <c r="K6" s="387"/>
      <c r="L6" s="387"/>
      <c r="M6" s="387"/>
      <c r="N6" s="387"/>
      <c r="O6" s="387"/>
      <c r="P6" s="387"/>
      <c r="Q6" s="387"/>
      <c r="R6" s="387"/>
      <c r="S6" s="387"/>
      <c r="T6" s="387"/>
      <c r="U6" s="387"/>
      <c r="V6" s="388"/>
      <c r="W6" s="388"/>
      <c r="X6" s="388"/>
      <c r="Y6" s="387"/>
      <c r="Z6" s="387"/>
      <c r="AA6" s="387"/>
      <c r="AB6" s="387"/>
      <c r="AC6" s="387"/>
      <c r="AD6" s="387"/>
      <c r="AE6" s="387"/>
      <c r="AF6" s="387"/>
      <c r="AG6" s="387"/>
      <c r="AH6" s="387"/>
    </row>
    <row r="7" spans="1:34" x14ac:dyDescent="0.25">
      <c r="A7" s="387" t="s">
        <v>198</v>
      </c>
      <c r="B7" s="387"/>
      <c r="C7" s="393">
        <f>'Year 1'!D5</f>
        <v>140</v>
      </c>
      <c r="D7" s="387"/>
      <c r="E7" s="387"/>
      <c r="F7" s="387"/>
      <c r="G7" s="387"/>
      <c r="H7" s="387"/>
      <c r="I7" s="387"/>
      <c r="J7" s="387"/>
      <c r="K7" s="387"/>
      <c r="L7" s="387"/>
      <c r="M7" s="387"/>
      <c r="N7" s="387"/>
      <c r="O7" s="387"/>
      <c r="P7" s="387"/>
      <c r="Q7" s="387"/>
      <c r="R7" s="387"/>
      <c r="S7" s="387"/>
      <c r="T7" s="387"/>
      <c r="U7" s="387"/>
      <c r="V7" s="388"/>
      <c r="W7" s="388"/>
      <c r="X7" s="388"/>
      <c r="Y7" s="387"/>
      <c r="Z7" s="387"/>
      <c r="AA7" s="387"/>
      <c r="AB7" s="387"/>
      <c r="AC7" s="387"/>
      <c r="AD7" s="387"/>
      <c r="AE7" s="387"/>
      <c r="AF7" s="387"/>
      <c r="AG7" s="387"/>
      <c r="AH7" s="387"/>
    </row>
    <row r="8" spans="1:34" x14ac:dyDescent="0.25">
      <c r="A8" s="387"/>
      <c r="B8" s="387"/>
      <c r="C8" s="394"/>
      <c r="D8" s="387"/>
      <c r="E8" s="387"/>
      <c r="F8" s="387"/>
      <c r="G8" s="387"/>
      <c r="H8" s="387"/>
      <c r="I8" s="387"/>
      <c r="J8" s="387"/>
      <c r="K8" s="387"/>
      <c r="L8" s="387"/>
      <c r="M8" s="387"/>
      <c r="N8" s="387"/>
      <c r="O8" s="387"/>
      <c r="P8" s="387"/>
      <c r="Q8" s="387"/>
      <c r="R8" s="387"/>
      <c r="S8" s="387"/>
      <c r="T8" s="387"/>
      <c r="U8" s="387"/>
      <c r="V8" s="388"/>
      <c r="W8" s="388"/>
      <c r="X8" s="388"/>
      <c r="Y8" s="387"/>
      <c r="Z8" s="387"/>
      <c r="AA8" s="387"/>
      <c r="AB8" s="387"/>
      <c r="AC8" s="387"/>
      <c r="AD8" s="387"/>
      <c r="AE8" s="387"/>
      <c r="AF8" s="387"/>
      <c r="AG8" s="387"/>
      <c r="AH8" s="387"/>
    </row>
    <row r="9" spans="1:34" ht="15.6" x14ac:dyDescent="0.3">
      <c r="A9" s="387"/>
      <c r="B9" s="395"/>
      <c r="C9" s="396"/>
      <c r="D9" s="387"/>
      <c r="E9" s="396"/>
      <c r="F9" s="396"/>
      <c r="G9" s="395"/>
      <c r="H9" s="395"/>
      <c r="I9" s="396"/>
      <c r="J9" s="396"/>
      <c r="K9" s="396"/>
      <c r="L9" s="396"/>
      <c r="M9" s="396"/>
      <c r="N9" s="396"/>
      <c r="O9" s="396"/>
      <c r="P9" s="396"/>
      <c r="Q9" s="396"/>
      <c r="R9" s="396"/>
      <c r="S9" s="396"/>
      <c r="T9" s="387"/>
      <c r="U9" s="388"/>
      <c r="V9" s="388"/>
      <c r="W9" s="388"/>
      <c r="X9" s="387"/>
      <c r="Y9" s="387"/>
      <c r="Z9" s="387"/>
      <c r="AA9" s="387"/>
      <c r="AB9" s="387"/>
      <c r="AC9" s="387"/>
      <c r="AD9" s="387"/>
      <c r="AE9" s="387"/>
      <c r="AF9" s="387"/>
      <c r="AG9" s="387"/>
      <c r="AH9" s="387"/>
    </row>
    <row r="10" spans="1:34" ht="46.8" x14ac:dyDescent="0.3">
      <c r="A10" s="325" t="s">
        <v>19</v>
      </c>
      <c r="B10" s="397" t="s">
        <v>199</v>
      </c>
      <c r="C10" s="397" t="s">
        <v>200</v>
      </c>
      <c r="D10" s="325"/>
      <c r="E10" s="398" t="s">
        <v>201</v>
      </c>
      <c r="F10" s="399" t="s">
        <v>202</v>
      </c>
      <c r="G10" s="399" t="s">
        <v>46</v>
      </c>
      <c r="H10" s="399" t="s">
        <v>63</v>
      </c>
      <c r="I10" s="399" t="s">
        <v>66</v>
      </c>
      <c r="J10" s="399" t="s">
        <v>72</v>
      </c>
      <c r="K10" s="399" t="s">
        <v>203</v>
      </c>
      <c r="L10" s="399" t="s">
        <v>77</v>
      </c>
      <c r="M10" s="399" t="s">
        <v>204</v>
      </c>
      <c r="N10" s="399" t="s">
        <v>205</v>
      </c>
      <c r="O10" s="399" t="s">
        <v>206</v>
      </c>
      <c r="P10" s="399" t="s">
        <v>127</v>
      </c>
      <c r="Q10" s="399" t="s">
        <v>128</v>
      </c>
      <c r="R10" s="399" t="s">
        <v>207</v>
      </c>
      <c r="S10" s="400" t="s">
        <v>208</v>
      </c>
      <c r="T10" s="401"/>
      <c r="U10" s="398" t="s">
        <v>209</v>
      </c>
      <c r="V10" s="402" t="s">
        <v>210</v>
      </c>
      <c r="W10" s="400" t="s">
        <v>211</v>
      </c>
      <c r="X10" s="387"/>
      <c r="Y10" s="387"/>
      <c r="Z10" s="387"/>
      <c r="AA10" s="387"/>
      <c r="AB10" s="387"/>
      <c r="AC10" s="387"/>
      <c r="AD10" s="387"/>
      <c r="AE10" s="387"/>
      <c r="AF10" s="387"/>
      <c r="AG10" s="387"/>
      <c r="AH10" s="387"/>
    </row>
    <row r="11" spans="1:34" ht="15.6" x14ac:dyDescent="0.3">
      <c r="A11" s="403">
        <v>0</v>
      </c>
      <c r="B11" s="403">
        <v>0</v>
      </c>
      <c r="C11" s="404">
        <v>0</v>
      </c>
      <c r="D11" s="404"/>
      <c r="E11" s="405">
        <v>0</v>
      </c>
      <c r="F11" s="406">
        <v>0</v>
      </c>
      <c r="G11" s="406">
        <v>0</v>
      </c>
      <c r="H11" s="406">
        <v>0</v>
      </c>
      <c r="I11" s="406">
        <v>0</v>
      </c>
      <c r="J11" s="406">
        <v>0</v>
      </c>
      <c r="K11" s="406">
        <v>0</v>
      </c>
      <c r="L11" s="406">
        <v>0</v>
      </c>
      <c r="M11" s="406">
        <v>0</v>
      </c>
      <c r="N11" s="406">
        <v>0</v>
      </c>
      <c r="O11" s="406">
        <v>0</v>
      </c>
      <c r="P11" s="406">
        <v>0</v>
      </c>
      <c r="Q11" s="406">
        <v>0</v>
      </c>
      <c r="R11" s="406">
        <f>R12/2</f>
        <v>12500</v>
      </c>
      <c r="S11" s="407">
        <f>'Capital Costs'!AL67</f>
        <v>390790</v>
      </c>
      <c r="T11" s="408"/>
      <c r="U11" s="405">
        <f t="shared" ref="U11:U41" si="0">C11-SUM(E11:S11)</f>
        <v>-403290</v>
      </c>
      <c r="V11" s="409">
        <f t="shared" ref="V11:V41" si="1">-(PV($C$2,A11,0,U11))</f>
        <v>-403290</v>
      </c>
      <c r="W11" s="407">
        <f>V11</f>
        <v>-403290</v>
      </c>
      <c r="X11" s="387"/>
      <c r="Y11" s="387"/>
      <c r="Z11" s="387"/>
      <c r="AA11" s="387"/>
      <c r="AB11" s="387"/>
      <c r="AC11" s="387"/>
      <c r="AD11" s="387"/>
      <c r="AE11" s="387"/>
      <c r="AF11" s="387"/>
      <c r="AG11" s="387"/>
      <c r="AH11" s="387"/>
    </row>
    <row r="12" spans="1:34" ht="15.6" x14ac:dyDescent="0.3">
      <c r="A12" s="403">
        <f t="shared" ref="A12:A41" si="2">A11+1</f>
        <v>1</v>
      </c>
      <c r="B12" s="410">
        <f>'Year 1'!H14*DCF!C5</f>
        <v>0</v>
      </c>
      <c r="C12" s="404">
        <f>B12*'Price and Yields'!$D$16</f>
        <v>0</v>
      </c>
      <c r="D12" s="404"/>
      <c r="E12" s="405">
        <f>C5*'Year 1'!K23</f>
        <v>257.14285714285717</v>
      </c>
      <c r="F12" s="406">
        <f>C5*'Year 1'!K28</f>
        <v>0</v>
      </c>
      <c r="G12" s="406">
        <f>C5*'Year 1'!K38</f>
        <v>12451.068000000001</v>
      </c>
      <c r="H12" s="406">
        <f>C5*'Year 1'!K43</f>
        <v>1170.0000000000002</v>
      </c>
      <c r="I12" s="406">
        <f>C5*'Year 1'!K49</f>
        <v>0</v>
      </c>
      <c r="J12" s="406">
        <f>C5*'Year 1'!K54</f>
        <v>88.000000000000014</v>
      </c>
      <c r="K12" s="406">
        <f>C5*'Year 1'!K56</f>
        <v>585.00000000000011</v>
      </c>
      <c r="L12" s="406">
        <f>'Year 1'!$K$57*DCF!$C$5</f>
        <v>0</v>
      </c>
      <c r="M12" s="406">
        <f>'Year 1'!$K$84*DCF!$C$5</f>
        <v>0</v>
      </c>
      <c r="N12" s="406">
        <f>Fixed!B5</f>
        <v>2000</v>
      </c>
      <c r="O12" s="406">
        <f>Fixed!B7</f>
        <v>1250</v>
      </c>
      <c r="P12" s="406">
        <f>Fixed!B9</f>
        <v>1500</v>
      </c>
      <c r="Q12" s="406">
        <f>Fixed!B18</f>
        <v>8300</v>
      </c>
      <c r="R12" s="406">
        <f>Fixed!B20</f>
        <v>25000</v>
      </c>
      <c r="S12" s="407">
        <f>'Capital Costs'!AM$67</f>
        <v>1000</v>
      </c>
      <c r="T12" s="408" t="str">
        <f t="shared" ref="T12:T41" si="3">IF(AND(W11&lt;0,W12&gt;0),"Breakeven","")</f>
        <v/>
      </c>
      <c r="U12" s="405">
        <f t="shared" si="0"/>
        <v>-53601.210857142854</v>
      </c>
      <c r="V12" s="409">
        <f t="shared" si="1"/>
        <v>-50567.180053908349</v>
      </c>
      <c r="W12" s="407">
        <f t="shared" ref="W12:W41" si="4">W11+V12</f>
        <v>-453857.18005390838</v>
      </c>
      <c r="X12" s="387"/>
      <c r="Y12" s="387"/>
      <c r="Z12" s="387"/>
      <c r="AA12" s="387"/>
      <c r="AB12" s="387"/>
      <c r="AC12" s="387"/>
      <c r="AD12" s="387"/>
      <c r="AE12" s="387"/>
      <c r="AF12" s="387"/>
      <c r="AG12" s="387"/>
      <c r="AH12" s="387"/>
    </row>
    <row r="13" spans="1:34" ht="15.6" x14ac:dyDescent="0.3">
      <c r="A13" s="403">
        <f t="shared" si="2"/>
        <v>2</v>
      </c>
      <c r="B13" s="410">
        <f>'Year 2'!H14*DCF!C5</f>
        <v>1000</v>
      </c>
      <c r="C13" s="404">
        <f>B13*'Price and Yields'!$D$16</f>
        <v>14295.000000000002</v>
      </c>
      <c r="D13" s="404"/>
      <c r="E13" s="405">
        <f>C5*'Year 2'!K23</f>
        <v>483.00000000000006</v>
      </c>
      <c r="F13" s="406">
        <f>C5*'Year 2'!K28</f>
        <v>0</v>
      </c>
      <c r="G13" s="406">
        <f>C5*'Year 2'!K38</f>
        <v>706.96800000000007</v>
      </c>
      <c r="H13" s="406">
        <f>C5*'Year 2'!K43</f>
        <v>487.50000000000011</v>
      </c>
      <c r="I13" s="406">
        <f>'Year 2'!K49*C5</f>
        <v>413.36500000000007</v>
      </c>
      <c r="J13" s="406">
        <f>C5*'Year 2'!K54</f>
        <v>497.35714285714283</v>
      </c>
      <c r="K13" s="406">
        <f>C5*'Year 2'!K56</f>
        <v>585.00000000000011</v>
      </c>
      <c r="L13" s="406">
        <f>'Year 2'!$K$57*DCF!$C$5</f>
        <v>0</v>
      </c>
      <c r="M13" s="406">
        <f>'Year 2'!$K$84*DCF!$C$5</f>
        <v>6194.3815656565666</v>
      </c>
      <c r="N13" s="406">
        <f t="shared" ref="N13:N41" si="5">N12</f>
        <v>2000</v>
      </c>
      <c r="O13" s="406">
        <f t="shared" ref="O13:O41" si="6">O12</f>
        <v>1250</v>
      </c>
      <c r="P13" s="406">
        <f t="shared" ref="P13:P41" si="7">P12</f>
        <v>1500</v>
      </c>
      <c r="Q13" s="406">
        <f t="shared" ref="Q13:Q41" si="8">Q12</f>
        <v>8300</v>
      </c>
      <c r="R13" s="406">
        <f t="shared" ref="R13:R41" si="9">R12</f>
        <v>25000</v>
      </c>
      <c r="S13" s="407">
        <f>'Capital Costs'!AN$67</f>
        <v>77750</v>
      </c>
      <c r="T13" s="408" t="str">
        <f t="shared" si="3"/>
        <v/>
      </c>
      <c r="U13" s="405">
        <f t="shared" si="0"/>
        <v>-110872.57170851371</v>
      </c>
      <c r="V13" s="409">
        <f t="shared" si="1"/>
        <v>-98676.194115800725</v>
      </c>
      <c r="W13" s="407">
        <f t="shared" si="4"/>
        <v>-552533.37416970916</v>
      </c>
      <c r="X13" s="387"/>
      <c r="Y13" s="387"/>
      <c r="Z13" s="387"/>
      <c r="AA13" s="387"/>
      <c r="AB13" s="387"/>
      <c r="AC13" s="387"/>
      <c r="AD13" s="387"/>
      <c r="AE13" s="387"/>
      <c r="AF13" s="387"/>
      <c r="AG13" s="387"/>
      <c r="AH13" s="387"/>
    </row>
    <row r="14" spans="1:34" ht="15.6" x14ac:dyDescent="0.3">
      <c r="A14" s="403">
        <f t="shared" si="2"/>
        <v>3</v>
      </c>
      <c r="B14" s="410">
        <f>C5*'Year 3'!H14</f>
        <v>4000</v>
      </c>
      <c r="C14" s="404">
        <f>B14*'Price and Yields'!$D$16</f>
        <v>57180.000000000007</v>
      </c>
      <c r="D14" s="404"/>
      <c r="E14" s="405">
        <f>C5*'Year 3'!K23</f>
        <v>506.57142857142861</v>
      </c>
      <c r="F14" s="406">
        <f>C5*'Year 3'!K28</f>
        <v>2750</v>
      </c>
      <c r="G14" s="406">
        <f>C5*'Year 3'!K38</f>
        <v>13026.368</v>
      </c>
      <c r="H14" s="406">
        <f>C5*'Year 3'!K43</f>
        <v>487.50000000000011</v>
      </c>
      <c r="I14" s="406">
        <f>C5*'Year 3'!K49</f>
        <v>774.3308571428571</v>
      </c>
      <c r="J14" s="406">
        <f>C5*'Year 3'!K54</f>
        <v>596.82857142857142</v>
      </c>
      <c r="K14" s="406">
        <f>C5*'Year 3'!K56</f>
        <v>1950</v>
      </c>
      <c r="L14" s="406">
        <f>'Year 3'!$K$57*DCF!$C$5</f>
        <v>0</v>
      </c>
      <c r="M14" s="406">
        <f>'Year 3'!$K$84*DCF!$C$5</f>
        <v>24777.526262626267</v>
      </c>
      <c r="N14" s="406">
        <f t="shared" si="5"/>
        <v>2000</v>
      </c>
      <c r="O14" s="406">
        <f t="shared" si="6"/>
        <v>1250</v>
      </c>
      <c r="P14" s="406">
        <f t="shared" si="7"/>
        <v>1500</v>
      </c>
      <c r="Q14" s="406">
        <f t="shared" si="8"/>
        <v>8300</v>
      </c>
      <c r="R14" s="406">
        <f t="shared" si="9"/>
        <v>25000</v>
      </c>
      <c r="S14" s="407">
        <f>'Capital Costs'!AO$67</f>
        <v>40000</v>
      </c>
      <c r="T14" s="408" t="str">
        <f t="shared" si="3"/>
        <v/>
      </c>
      <c r="U14" s="405">
        <f t="shared" si="0"/>
        <v>-65739.125119769131</v>
      </c>
      <c r="V14" s="409">
        <f t="shared" si="1"/>
        <v>-55195.837100231329</v>
      </c>
      <c r="W14" s="407">
        <f t="shared" si="4"/>
        <v>-607729.21126994048</v>
      </c>
      <c r="X14" s="387"/>
      <c r="Y14" s="387"/>
      <c r="Z14" s="387"/>
      <c r="AA14" s="387"/>
      <c r="AB14" s="387"/>
      <c r="AC14" s="387"/>
      <c r="AD14" s="387"/>
      <c r="AE14" s="387"/>
      <c r="AF14" s="387"/>
      <c r="AG14" s="387"/>
      <c r="AH14" s="387"/>
    </row>
    <row r="15" spans="1:34" ht="15.6" x14ac:dyDescent="0.3">
      <c r="A15" s="403">
        <f t="shared" si="2"/>
        <v>4</v>
      </c>
      <c r="B15" s="410">
        <f>C5*'Year 4'!H14</f>
        <v>10000</v>
      </c>
      <c r="C15" s="404">
        <f>B15*'Price and Yields'!$D$16</f>
        <v>142950.00000000003</v>
      </c>
      <c r="D15" s="404"/>
      <c r="E15" s="405">
        <f>C5*'Year 4'!K23</f>
        <v>473.57142857142856</v>
      </c>
      <c r="F15" s="406">
        <f>C5*'Year 4'!K28</f>
        <v>6380.0000000000009</v>
      </c>
      <c r="G15" s="406">
        <f>C5*'Year 4'!K38</f>
        <v>2509.12</v>
      </c>
      <c r="H15" s="406">
        <f>C5*'Year 4'!K43</f>
        <v>780.00000000000011</v>
      </c>
      <c r="I15" s="406">
        <f>C5*'Year 4'!K49</f>
        <v>1455.8728571428574</v>
      </c>
      <c r="J15" s="406">
        <f>C5*'Year 4'!K54</f>
        <v>1522.7142857142858</v>
      </c>
      <c r="K15" s="406">
        <f>C5*'Year 4'!K56</f>
        <v>2010.0000000000005</v>
      </c>
      <c r="L15" s="406">
        <f>'Year 4'!$K$57*DCF!$C$5</f>
        <v>0</v>
      </c>
      <c r="M15" s="406">
        <f>'Year 4'!$K$84*DCF!$C$5</f>
        <v>62930.99514374516</v>
      </c>
      <c r="N15" s="406">
        <f t="shared" si="5"/>
        <v>2000</v>
      </c>
      <c r="O15" s="406">
        <f t="shared" si="6"/>
        <v>1250</v>
      </c>
      <c r="P15" s="406">
        <f t="shared" si="7"/>
        <v>1500</v>
      </c>
      <c r="Q15" s="406">
        <f t="shared" si="8"/>
        <v>8300</v>
      </c>
      <c r="R15" s="406">
        <f t="shared" si="9"/>
        <v>25000</v>
      </c>
      <c r="S15" s="407">
        <f>'Capital Costs'!AP$67</f>
        <v>5650</v>
      </c>
      <c r="T15" s="408" t="str">
        <f t="shared" si="3"/>
        <v/>
      </c>
      <c r="U15" s="405">
        <f t="shared" si="0"/>
        <v>21187.726284826291</v>
      </c>
      <c r="V15" s="409">
        <f t="shared" si="1"/>
        <v>16782.663728632549</v>
      </c>
      <c r="W15" s="407">
        <f t="shared" si="4"/>
        <v>-590946.54754130798</v>
      </c>
      <c r="X15" s="387"/>
      <c r="Y15" s="387"/>
      <c r="Z15" s="387"/>
      <c r="AA15" s="387"/>
      <c r="AB15" s="387"/>
      <c r="AC15" s="387"/>
      <c r="AD15" s="387"/>
      <c r="AE15" s="387"/>
      <c r="AF15" s="387"/>
      <c r="AG15" s="387"/>
      <c r="AH15" s="387"/>
    </row>
    <row r="16" spans="1:34" ht="15.6" x14ac:dyDescent="0.3">
      <c r="A16" s="403">
        <f t="shared" si="2"/>
        <v>5</v>
      </c>
      <c r="B16" s="410">
        <f>C5*'Year 5'!H14</f>
        <v>14000</v>
      </c>
      <c r="C16" s="404">
        <f>B16*'Price and Yields'!$D$16</f>
        <v>200130.00000000003</v>
      </c>
      <c r="D16" s="404"/>
      <c r="E16" s="405">
        <f>C5*'Year 5'!K23</f>
        <v>506.57142857142861</v>
      </c>
      <c r="F16" s="406">
        <f>C5*'Year 5'!K28</f>
        <v>8140</v>
      </c>
      <c r="G16" s="406">
        <f>C5*'Year 5'!K38</f>
        <v>17412.740000000002</v>
      </c>
      <c r="H16" s="406">
        <f>C5*'Year 5'!K43</f>
        <v>780.00000000000011</v>
      </c>
      <c r="I16" s="406">
        <f>C5*'Year 5'!K49</f>
        <v>2329.2219999999998</v>
      </c>
      <c r="J16" s="406">
        <f>C5*'Year 5'!K54</f>
        <v>2184.6</v>
      </c>
      <c r="K16" s="406">
        <f>C5*'Year 5'!K56</f>
        <v>2550</v>
      </c>
      <c r="L16" s="406">
        <f>'Year 5'!$K$57*DCF!$C$5</f>
        <v>0</v>
      </c>
      <c r="M16" s="406">
        <f>'Year 5'!$K$84*DCF!$C$5</f>
        <v>88103.393201243205</v>
      </c>
      <c r="N16" s="406">
        <f t="shared" si="5"/>
        <v>2000</v>
      </c>
      <c r="O16" s="406">
        <f t="shared" si="6"/>
        <v>1250</v>
      </c>
      <c r="P16" s="406">
        <f t="shared" si="7"/>
        <v>1500</v>
      </c>
      <c r="Q16" s="406">
        <f t="shared" si="8"/>
        <v>8300</v>
      </c>
      <c r="R16" s="406">
        <f t="shared" si="9"/>
        <v>25000</v>
      </c>
      <c r="S16" s="407">
        <f>'Capital Costs'!AQ$67</f>
        <v>0</v>
      </c>
      <c r="T16" s="408" t="str">
        <f t="shared" si="3"/>
        <v/>
      </c>
      <c r="U16" s="405">
        <f t="shared" si="0"/>
        <v>40073.473370185384</v>
      </c>
      <c r="V16" s="409">
        <f t="shared" si="1"/>
        <v>29945.230491001315</v>
      </c>
      <c r="W16" s="407">
        <f t="shared" si="4"/>
        <v>-561001.31705030671</v>
      </c>
      <c r="X16" s="387"/>
      <c r="Y16" s="387"/>
      <c r="Z16" s="387"/>
      <c r="AA16" s="387"/>
      <c r="AB16" s="387"/>
      <c r="AC16" s="387"/>
      <c r="AD16" s="387"/>
      <c r="AE16" s="387"/>
      <c r="AF16" s="387"/>
      <c r="AG16" s="387"/>
      <c r="AH16" s="387"/>
    </row>
    <row r="17" spans="1:34" ht="15.6" x14ac:dyDescent="0.3">
      <c r="A17" s="403">
        <f t="shared" si="2"/>
        <v>6</v>
      </c>
      <c r="B17" s="410">
        <f>C5*'Year 6'!H14</f>
        <v>20000</v>
      </c>
      <c r="C17" s="404">
        <f>B17*'Price and Yields'!$D$16</f>
        <v>285900.00000000006</v>
      </c>
      <c r="D17" s="404"/>
      <c r="E17" s="405">
        <f>C5*'Year 6'!K23</f>
        <v>473.57142857142856</v>
      </c>
      <c r="F17" s="406">
        <f>C5*'Year 6'!K28</f>
        <v>8140</v>
      </c>
      <c r="G17" s="406">
        <f>C5*'Year 6'!K38</f>
        <v>9501.2800000000007</v>
      </c>
      <c r="H17" s="406">
        <f>C5*'Year 6'!K43</f>
        <v>780.00000000000011</v>
      </c>
      <c r="I17" s="406">
        <f>C5*'Year 6'!K49</f>
        <v>3327.46</v>
      </c>
      <c r="J17" s="406">
        <f>C5*'Year 6'!K54</f>
        <v>3045.4285714285716</v>
      </c>
      <c r="K17" s="406">
        <f>C5*'Year 6'!K56</f>
        <v>3000</v>
      </c>
      <c r="L17" s="406">
        <f>'Year 6'!$K$57*DCF!$C$5</f>
        <v>0</v>
      </c>
      <c r="M17" s="406">
        <f>'Year 6'!$K$84*DCF!$C$5</f>
        <v>127554.29797979802</v>
      </c>
      <c r="N17" s="406">
        <f t="shared" si="5"/>
        <v>2000</v>
      </c>
      <c r="O17" s="406">
        <f t="shared" si="6"/>
        <v>1250</v>
      </c>
      <c r="P17" s="406">
        <f t="shared" si="7"/>
        <v>1500</v>
      </c>
      <c r="Q17" s="406">
        <f t="shared" si="8"/>
        <v>8300</v>
      </c>
      <c r="R17" s="406">
        <f t="shared" si="9"/>
        <v>25000</v>
      </c>
      <c r="S17" s="407">
        <f>'Capital Costs'!AR$67</f>
        <v>0</v>
      </c>
      <c r="T17" s="408" t="str">
        <f t="shared" si="3"/>
        <v/>
      </c>
      <c r="U17" s="405">
        <f t="shared" si="0"/>
        <v>92027.962020202045</v>
      </c>
      <c r="V17" s="409">
        <f t="shared" si="1"/>
        <v>64876.081841323634</v>
      </c>
      <c r="W17" s="407">
        <f t="shared" si="4"/>
        <v>-496125.23520898307</v>
      </c>
      <c r="X17" s="387"/>
      <c r="Y17" s="387"/>
      <c r="Z17" s="387"/>
      <c r="AA17" s="387"/>
      <c r="AB17" s="387"/>
      <c r="AC17" s="387"/>
      <c r="AD17" s="387"/>
      <c r="AE17" s="387"/>
      <c r="AF17" s="387"/>
      <c r="AG17" s="387"/>
      <c r="AH17" s="387"/>
    </row>
    <row r="18" spans="1:34" ht="15.6" x14ac:dyDescent="0.3">
      <c r="A18" s="403">
        <f t="shared" si="2"/>
        <v>7</v>
      </c>
      <c r="B18" s="410">
        <f>C5*'Year 7'!H14</f>
        <v>24000</v>
      </c>
      <c r="C18" s="404">
        <f>B18*'Price and Yields'!$D$16</f>
        <v>343080.00000000006</v>
      </c>
      <c r="D18" s="404"/>
      <c r="E18" s="405">
        <f>C5*'Year 7'!K23</f>
        <v>506.57142857142861</v>
      </c>
      <c r="F18" s="406">
        <f>C5*'Year 7'!K28</f>
        <v>12540</v>
      </c>
      <c r="G18" s="406">
        <f>C5*'Year 7'!K38</f>
        <v>21501.280000000002</v>
      </c>
      <c r="H18" s="406">
        <f>C5*'Year 7'!K43</f>
        <v>780.00000000000011</v>
      </c>
      <c r="I18" s="406">
        <f>C5*'Year 7'!K49</f>
        <v>3327.46</v>
      </c>
      <c r="J18" s="406">
        <f>C5*'Year 7'!K54</f>
        <v>3309.4285714285716</v>
      </c>
      <c r="K18" s="406">
        <f>C5*'Year 7'!K56</f>
        <v>3450.0000000000005</v>
      </c>
      <c r="L18" s="406">
        <f>'Year 7'!$K$57*DCF!$C$5</f>
        <v>0</v>
      </c>
      <c r="M18" s="406">
        <f>'Year 7'!$K$84*DCF!$C$5</f>
        <v>153065.15757575762</v>
      </c>
      <c r="N18" s="406">
        <f t="shared" si="5"/>
        <v>2000</v>
      </c>
      <c r="O18" s="406">
        <f t="shared" si="6"/>
        <v>1250</v>
      </c>
      <c r="P18" s="406">
        <f t="shared" si="7"/>
        <v>1500</v>
      </c>
      <c r="Q18" s="406">
        <f t="shared" si="8"/>
        <v>8300</v>
      </c>
      <c r="R18" s="406">
        <f t="shared" si="9"/>
        <v>25000</v>
      </c>
      <c r="S18" s="407">
        <f>'Capital Costs'!AS$67</f>
        <v>11800</v>
      </c>
      <c r="T18" s="408" t="str">
        <f t="shared" si="3"/>
        <v/>
      </c>
      <c r="U18" s="405">
        <f t="shared" si="0"/>
        <v>94750.102424242417</v>
      </c>
      <c r="V18" s="409">
        <f t="shared" si="1"/>
        <v>63014.229633687362</v>
      </c>
      <c r="W18" s="407">
        <f t="shared" si="4"/>
        <v>-433111.00557529571</v>
      </c>
      <c r="X18" s="387"/>
      <c r="Y18" s="387"/>
      <c r="Z18" s="387"/>
      <c r="AA18" s="387"/>
      <c r="AB18" s="387"/>
      <c r="AC18" s="387"/>
      <c r="AD18" s="387"/>
      <c r="AE18" s="387"/>
      <c r="AF18" s="387"/>
      <c r="AG18" s="387"/>
      <c r="AH18" s="387"/>
    </row>
    <row r="19" spans="1:34" ht="15.6" x14ac:dyDescent="0.3">
      <c r="A19" s="403">
        <f t="shared" si="2"/>
        <v>8</v>
      </c>
      <c r="B19" s="410">
        <f>C5*'Year 8'!H14</f>
        <v>28000</v>
      </c>
      <c r="C19" s="404">
        <f>B19*'Price and Yields'!$D$16</f>
        <v>400260.00000000006</v>
      </c>
      <c r="D19" s="404"/>
      <c r="E19" s="405">
        <f>C5*'Year 8'!K23</f>
        <v>473.57142857142856</v>
      </c>
      <c r="F19" s="406">
        <f>C5*'Year 8'!K28</f>
        <v>12540</v>
      </c>
      <c r="G19" s="406">
        <f>C5*'Year 8'!K38</f>
        <v>9501.2800000000007</v>
      </c>
      <c r="H19" s="406">
        <f>C5*'Year 8'!K43</f>
        <v>780.00000000000011</v>
      </c>
      <c r="I19" s="406">
        <f>C5*'Year 8'!K49</f>
        <v>3327.46</v>
      </c>
      <c r="J19" s="406">
        <f>C5*'Year 8'!K54</f>
        <v>3573.4285714285716</v>
      </c>
      <c r="K19" s="406">
        <f>C5*'Year 8'!K56</f>
        <v>3450.0000000000005</v>
      </c>
      <c r="L19" s="406">
        <f>'Year 8'!$K$57*DCF!$C$5</f>
        <v>0</v>
      </c>
      <c r="M19" s="406">
        <f>'Year 8'!$K$84*DCF!$C$5</f>
        <v>178576.01717171719</v>
      </c>
      <c r="N19" s="406">
        <f t="shared" si="5"/>
        <v>2000</v>
      </c>
      <c r="O19" s="406">
        <f t="shared" si="6"/>
        <v>1250</v>
      </c>
      <c r="P19" s="406">
        <f t="shared" si="7"/>
        <v>1500</v>
      </c>
      <c r="Q19" s="406">
        <f t="shared" si="8"/>
        <v>8300</v>
      </c>
      <c r="R19" s="406">
        <f t="shared" si="9"/>
        <v>25000</v>
      </c>
      <c r="S19" s="407">
        <f>'Capital Costs'!AT$67</f>
        <v>600</v>
      </c>
      <c r="T19" s="408" t="str">
        <f t="shared" si="3"/>
        <v/>
      </c>
      <c r="U19" s="405">
        <f t="shared" si="0"/>
        <v>149388.24282828288</v>
      </c>
      <c r="V19" s="409">
        <f t="shared" si="1"/>
        <v>93728.03168348156</v>
      </c>
      <c r="W19" s="407">
        <f t="shared" si="4"/>
        <v>-339382.97389181412</v>
      </c>
      <c r="X19" s="387"/>
      <c r="Y19" s="387"/>
      <c r="Z19" s="387"/>
      <c r="AA19" s="387"/>
      <c r="AB19" s="387"/>
      <c r="AC19" s="387"/>
      <c r="AD19" s="387"/>
      <c r="AE19" s="387"/>
      <c r="AF19" s="387"/>
      <c r="AG19" s="387"/>
      <c r="AH19" s="387"/>
    </row>
    <row r="20" spans="1:34" ht="15.6" x14ac:dyDescent="0.3">
      <c r="A20" s="403">
        <f t="shared" si="2"/>
        <v>9</v>
      </c>
      <c r="B20" s="410">
        <f>C5*'Year 9'!H14</f>
        <v>28000</v>
      </c>
      <c r="C20" s="404">
        <f>B20*'Price and Yields'!$D$16</f>
        <v>400260.00000000006</v>
      </c>
      <c r="D20" s="404"/>
      <c r="E20" s="405">
        <f>C5*'Year 9'!K23</f>
        <v>506.57142857142861</v>
      </c>
      <c r="F20" s="406">
        <f>C5*'Year 9'!K28</f>
        <v>12540</v>
      </c>
      <c r="G20" s="406">
        <f>C5*'Year 9'!K38</f>
        <v>21501.280000000002</v>
      </c>
      <c r="H20" s="406">
        <f>C5*'Year 9'!K43</f>
        <v>780.00000000000011</v>
      </c>
      <c r="I20" s="406">
        <f>C5*'Year 9'!K49</f>
        <v>3327.46</v>
      </c>
      <c r="J20" s="406">
        <f>C5*'Year 9'!K54</f>
        <v>3573.4285714285716</v>
      </c>
      <c r="K20" s="406">
        <f>C5*'Year 9'!K56</f>
        <v>3450.0000000000005</v>
      </c>
      <c r="L20" s="406">
        <f>'Year 9'!$K$57*DCF!$C$5</f>
        <v>0</v>
      </c>
      <c r="M20" s="406">
        <f>'Year 9'!$K$84*DCF!$C$5</f>
        <v>178576.01717171719</v>
      </c>
      <c r="N20" s="406">
        <f t="shared" si="5"/>
        <v>2000</v>
      </c>
      <c r="O20" s="406">
        <f t="shared" si="6"/>
        <v>1250</v>
      </c>
      <c r="P20" s="406">
        <f t="shared" si="7"/>
        <v>1500</v>
      </c>
      <c r="Q20" s="406">
        <f t="shared" si="8"/>
        <v>8300</v>
      </c>
      <c r="R20" s="406">
        <f t="shared" si="9"/>
        <v>25000</v>
      </c>
      <c r="S20" s="407">
        <f>'Capital Costs'!AU$67</f>
        <v>0</v>
      </c>
      <c r="T20" s="408" t="str">
        <f t="shared" si="3"/>
        <v/>
      </c>
      <c r="U20" s="405">
        <f t="shared" si="0"/>
        <v>137955.24282828288</v>
      </c>
      <c r="V20" s="409">
        <f t="shared" si="1"/>
        <v>81655.496265972135</v>
      </c>
      <c r="W20" s="407">
        <f t="shared" si="4"/>
        <v>-257727.47762584197</v>
      </c>
      <c r="X20" s="387"/>
      <c r="Y20" s="387"/>
      <c r="Z20" s="387"/>
      <c r="AA20" s="387"/>
      <c r="AB20" s="387"/>
      <c r="AC20" s="387"/>
      <c r="AD20" s="387"/>
      <c r="AE20" s="387"/>
      <c r="AF20" s="387"/>
      <c r="AG20" s="387"/>
      <c r="AH20" s="387"/>
    </row>
    <row r="21" spans="1:34" ht="15.6" x14ac:dyDescent="0.3">
      <c r="A21" s="403">
        <f t="shared" si="2"/>
        <v>10</v>
      </c>
      <c r="B21" s="410">
        <f>C5*'Year 10'!H14</f>
        <v>28000</v>
      </c>
      <c r="C21" s="404">
        <f>B21*'Price and Yields'!$D$16</f>
        <v>400260.00000000006</v>
      </c>
      <c r="D21" s="404"/>
      <c r="E21" s="405">
        <f>C5*'Year 10'!K23</f>
        <v>473.57142857142856</v>
      </c>
      <c r="F21" s="406">
        <f>C5*'Year 10'!K28</f>
        <v>12540</v>
      </c>
      <c r="G21" s="406">
        <f>C5*'Year 10'!K38</f>
        <v>9501.2800000000007</v>
      </c>
      <c r="H21" s="406">
        <f>C5*'Year 10'!K43</f>
        <v>780.00000000000011</v>
      </c>
      <c r="I21" s="406">
        <f>C5*'Year 10'!K49</f>
        <v>3327.46</v>
      </c>
      <c r="J21" s="406">
        <f>C5*'Year 10'!K54</f>
        <v>3573.4285714285716</v>
      </c>
      <c r="K21" s="406">
        <f>C5*'Year 10'!K56</f>
        <v>3450.0000000000005</v>
      </c>
      <c r="L21" s="406">
        <f>'Year 10'!$K$57*DCF!$C$5</f>
        <v>0</v>
      </c>
      <c r="M21" s="406">
        <f>'Year 10'!$K$84*DCF!$C$5</f>
        <v>178576.01717171719</v>
      </c>
      <c r="N21" s="406">
        <f t="shared" si="5"/>
        <v>2000</v>
      </c>
      <c r="O21" s="406">
        <f t="shared" si="6"/>
        <v>1250</v>
      </c>
      <c r="P21" s="406">
        <f t="shared" si="7"/>
        <v>1500</v>
      </c>
      <c r="Q21" s="406">
        <f t="shared" si="8"/>
        <v>8300</v>
      </c>
      <c r="R21" s="406">
        <f t="shared" si="9"/>
        <v>25000</v>
      </c>
      <c r="S21" s="407">
        <f>'Capital Costs'!AV$67</f>
        <v>14680</v>
      </c>
      <c r="T21" s="408" t="str">
        <f t="shared" si="3"/>
        <v/>
      </c>
      <c r="U21" s="405">
        <f t="shared" si="0"/>
        <v>135308.24282828288</v>
      </c>
      <c r="V21" s="409">
        <f t="shared" si="1"/>
        <v>75555.416068875609</v>
      </c>
      <c r="W21" s="407">
        <f t="shared" si="4"/>
        <v>-182172.06155696636</v>
      </c>
      <c r="X21" s="387"/>
      <c r="Y21" s="387"/>
      <c r="Z21" s="387"/>
      <c r="AA21" s="387"/>
      <c r="AB21" s="387"/>
      <c r="AC21" s="387"/>
      <c r="AD21" s="387"/>
      <c r="AE21" s="387"/>
      <c r="AF21" s="387"/>
      <c r="AG21" s="387"/>
      <c r="AH21" s="387"/>
    </row>
    <row r="22" spans="1:34" ht="15.6" x14ac:dyDescent="0.3">
      <c r="A22" s="403">
        <f t="shared" si="2"/>
        <v>11</v>
      </c>
      <c r="B22" s="410">
        <f>C5*'Year 11'!H14</f>
        <v>28000</v>
      </c>
      <c r="C22" s="404">
        <f>B22*'Price and Yields'!$D$16</f>
        <v>400260.00000000006</v>
      </c>
      <c r="D22" s="404"/>
      <c r="E22" s="405">
        <f>C5*'Year 11'!K23</f>
        <v>506.57142857142861</v>
      </c>
      <c r="F22" s="406">
        <f>C5*'Year 11'!K28</f>
        <v>12540</v>
      </c>
      <c r="G22" s="406">
        <f>C5*'Year 11'!K38</f>
        <v>21501.280000000002</v>
      </c>
      <c r="H22" s="406">
        <f>C5*'Year 11'!K43</f>
        <v>780.00000000000011</v>
      </c>
      <c r="I22" s="406">
        <f>C5*'Year 11'!K49</f>
        <v>3327.46</v>
      </c>
      <c r="J22" s="406">
        <f>C5*'Year 11'!K54</f>
        <v>3573.4285714285716</v>
      </c>
      <c r="K22" s="406">
        <f>C5*'Year 11'!K56</f>
        <v>3450.0000000000005</v>
      </c>
      <c r="L22" s="406">
        <f>'Year 11'!$K$57*DCF!$C$5</f>
        <v>0</v>
      </c>
      <c r="M22" s="406">
        <f>'Year 11'!$K$84*DCF!$C$5</f>
        <v>178576.01717171719</v>
      </c>
      <c r="N22" s="406">
        <f t="shared" si="5"/>
        <v>2000</v>
      </c>
      <c r="O22" s="406">
        <f t="shared" si="6"/>
        <v>1250</v>
      </c>
      <c r="P22" s="406">
        <f t="shared" si="7"/>
        <v>1500</v>
      </c>
      <c r="Q22" s="406">
        <f t="shared" si="8"/>
        <v>8300</v>
      </c>
      <c r="R22" s="406">
        <f t="shared" si="9"/>
        <v>25000</v>
      </c>
      <c r="S22" s="407">
        <f>'Capital Costs'!AW$67</f>
        <v>0</v>
      </c>
      <c r="T22" s="408" t="str">
        <f t="shared" si="3"/>
        <v/>
      </c>
      <c r="U22" s="405">
        <f t="shared" si="0"/>
        <v>137955.24282828288</v>
      </c>
      <c r="V22" s="409">
        <f t="shared" si="1"/>
        <v>72673.100984311241</v>
      </c>
      <c r="W22" s="407">
        <f t="shared" si="4"/>
        <v>-109498.96057265512</v>
      </c>
      <c r="X22" s="387"/>
      <c r="Y22" s="387"/>
      <c r="Z22" s="387"/>
      <c r="AA22" s="387"/>
      <c r="AB22" s="387"/>
      <c r="AC22" s="387"/>
      <c r="AD22" s="387"/>
      <c r="AE22" s="387"/>
      <c r="AF22" s="387"/>
      <c r="AG22" s="387"/>
      <c r="AH22" s="387"/>
    </row>
    <row r="23" spans="1:34" ht="15.6" x14ac:dyDescent="0.3">
      <c r="A23" s="403">
        <f t="shared" si="2"/>
        <v>12</v>
      </c>
      <c r="B23" s="410">
        <f>C5*'Year 12+'!H14</f>
        <v>28000</v>
      </c>
      <c r="C23" s="404">
        <f>B23*'Price and Yields'!$D$16</f>
        <v>400260.00000000006</v>
      </c>
      <c r="D23" s="404"/>
      <c r="E23" s="405">
        <f>C5*'Year 12+'!K23</f>
        <v>506.57142857142861</v>
      </c>
      <c r="F23" s="406">
        <f>C5*'Year 12+'!K28</f>
        <v>12540</v>
      </c>
      <c r="G23" s="406">
        <f>C5*'Year 12+'!K38</f>
        <v>21501.280000000002</v>
      </c>
      <c r="H23" s="406">
        <f>C5*'Year 12+'!K43</f>
        <v>780.00000000000011</v>
      </c>
      <c r="I23" s="406">
        <f>C5*'Year 12+'!K49</f>
        <v>3327.46</v>
      </c>
      <c r="J23" s="406">
        <f>C5*'Year 12+'!K54</f>
        <v>3573.4285714285716</v>
      </c>
      <c r="K23" s="406">
        <f>C5*'Year 12+'!K56</f>
        <v>3450.0000000000005</v>
      </c>
      <c r="L23" s="406">
        <f>'Year 12+'!$K$57*DCF!$C$5</f>
        <v>0</v>
      </c>
      <c r="M23" s="406">
        <f>'Year 12+'!$K$84*DCF!$C$5</f>
        <v>178576.01717171719</v>
      </c>
      <c r="N23" s="406">
        <f t="shared" si="5"/>
        <v>2000</v>
      </c>
      <c r="O23" s="406">
        <f t="shared" si="6"/>
        <v>1250</v>
      </c>
      <c r="P23" s="406">
        <f t="shared" si="7"/>
        <v>1500</v>
      </c>
      <c r="Q23" s="406">
        <f t="shared" si="8"/>
        <v>8300</v>
      </c>
      <c r="R23" s="406">
        <f t="shared" si="9"/>
        <v>25000</v>
      </c>
      <c r="S23" s="407">
        <f>'Capital Costs'!AX$67</f>
        <v>600</v>
      </c>
      <c r="T23" s="408" t="str">
        <f t="shared" si="3"/>
        <v/>
      </c>
      <c r="U23" s="405">
        <f t="shared" si="0"/>
        <v>137355.24282828288</v>
      </c>
      <c r="V23" s="409">
        <f t="shared" si="1"/>
        <v>68261.347612336103</v>
      </c>
      <c r="W23" s="407">
        <f t="shared" si="4"/>
        <v>-41237.61296031902</v>
      </c>
      <c r="X23" s="387"/>
      <c r="Y23" s="387"/>
      <c r="Z23" s="387"/>
      <c r="AA23" s="387"/>
      <c r="AB23" s="387"/>
      <c r="AC23" s="387"/>
      <c r="AD23" s="387"/>
      <c r="AE23" s="387"/>
      <c r="AF23" s="387"/>
      <c r="AG23" s="387"/>
      <c r="AH23" s="387"/>
    </row>
    <row r="24" spans="1:34" ht="15.6" x14ac:dyDescent="0.3">
      <c r="A24" s="403">
        <f t="shared" si="2"/>
        <v>13</v>
      </c>
      <c r="B24" s="410">
        <f t="shared" ref="B24:B41" si="10">B23</f>
        <v>28000</v>
      </c>
      <c r="C24" s="404">
        <f>B24*'Price and Yields'!$D$16</f>
        <v>400260.00000000006</v>
      </c>
      <c r="D24" s="404"/>
      <c r="E24" s="405">
        <f t="shared" ref="E24:E41" si="11">E23</f>
        <v>506.57142857142861</v>
      </c>
      <c r="F24" s="406">
        <f t="shared" ref="F24:F41" si="12">F23</f>
        <v>12540</v>
      </c>
      <c r="G24" s="406">
        <f t="shared" ref="G24:G41" si="13">G23</f>
        <v>21501.280000000002</v>
      </c>
      <c r="H24" s="406">
        <f t="shared" ref="H24:H41" si="14">H23</f>
        <v>780.00000000000011</v>
      </c>
      <c r="I24" s="406">
        <f t="shared" ref="I24:I41" si="15">I23</f>
        <v>3327.46</v>
      </c>
      <c r="J24" s="406">
        <f t="shared" ref="J24:J41" si="16">J23</f>
        <v>3573.4285714285716</v>
      </c>
      <c r="K24" s="406">
        <f t="shared" ref="K24:K41" si="17">K23</f>
        <v>3450.0000000000005</v>
      </c>
      <c r="L24" s="406">
        <f t="shared" ref="L24:L41" si="18">L23</f>
        <v>0</v>
      </c>
      <c r="M24" s="406">
        <f t="shared" ref="M24:M41" si="19">M23</f>
        <v>178576.01717171719</v>
      </c>
      <c r="N24" s="406">
        <f t="shared" si="5"/>
        <v>2000</v>
      </c>
      <c r="O24" s="406">
        <f t="shared" si="6"/>
        <v>1250</v>
      </c>
      <c r="P24" s="406">
        <f t="shared" si="7"/>
        <v>1500</v>
      </c>
      <c r="Q24" s="406">
        <f t="shared" si="8"/>
        <v>8300</v>
      </c>
      <c r="R24" s="406">
        <f t="shared" si="9"/>
        <v>25000</v>
      </c>
      <c r="S24" s="407">
        <f>'Capital Costs'!AY$67</f>
        <v>1000</v>
      </c>
      <c r="T24" s="408" t="str">
        <f t="shared" si="3"/>
        <v>Breakeven</v>
      </c>
      <c r="U24" s="405">
        <f t="shared" si="0"/>
        <v>136955.24282828288</v>
      </c>
      <c r="V24" s="409">
        <f t="shared" si="1"/>
        <v>64209.962138589901</v>
      </c>
      <c r="W24" s="407">
        <f t="shared" si="4"/>
        <v>22972.349178270881</v>
      </c>
      <c r="X24" s="387"/>
      <c r="Y24" s="387"/>
      <c r="Z24" s="387"/>
      <c r="AA24" s="387"/>
      <c r="AB24" s="387"/>
      <c r="AC24" s="387"/>
      <c r="AD24" s="387"/>
      <c r="AE24" s="387"/>
      <c r="AF24" s="387"/>
      <c r="AG24" s="387"/>
      <c r="AH24" s="387"/>
    </row>
    <row r="25" spans="1:34" ht="15.6" x14ac:dyDescent="0.3">
      <c r="A25" s="403">
        <f t="shared" si="2"/>
        <v>14</v>
      </c>
      <c r="B25" s="410">
        <f t="shared" si="10"/>
        <v>28000</v>
      </c>
      <c r="C25" s="404">
        <f>B25*'Price and Yields'!$D$16</f>
        <v>400260.00000000006</v>
      </c>
      <c r="D25" s="404"/>
      <c r="E25" s="405">
        <f t="shared" si="11"/>
        <v>506.57142857142861</v>
      </c>
      <c r="F25" s="406">
        <f t="shared" si="12"/>
        <v>12540</v>
      </c>
      <c r="G25" s="406">
        <f t="shared" si="13"/>
        <v>21501.280000000002</v>
      </c>
      <c r="H25" s="406">
        <f t="shared" si="14"/>
        <v>780.00000000000011</v>
      </c>
      <c r="I25" s="406">
        <f t="shared" si="15"/>
        <v>3327.46</v>
      </c>
      <c r="J25" s="406">
        <f t="shared" si="16"/>
        <v>3573.4285714285716</v>
      </c>
      <c r="K25" s="406">
        <f t="shared" si="17"/>
        <v>3450.0000000000005</v>
      </c>
      <c r="L25" s="406">
        <f t="shared" si="18"/>
        <v>0</v>
      </c>
      <c r="M25" s="406">
        <f t="shared" si="19"/>
        <v>178576.01717171719</v>
      </c>
      <c r="N25" s="406">
        <f t="shared" si="5"/>
        <v>2000</v>
      </c>
      <c r="O25" s="406">
        <f t="shared" si="6"/>
        <v>1250</v>
      </c>
      <c r="P25" s="406">
        <f t="shared" si="7"/>
        <v>1500</v>
      </c>
      <c r="Q25" s="406">
        <f t="shared" si="8"/>
        <v>8300</v>
      </c>
      <c r="R25" s="406">
        <f t="shared" si="9"/>
        <v>25000</v>
      </c>
      <c r="S25" s="407">
        <f>'Capital Costs'!AZ$67</f>
        <v>0</v>
      </c>
      <c r="T25" s="408" t="str">
        <f t="shared" si="3"/>
        <v/>
      </c>
      <c r="U25" s="405">
        <f t="shared" si="0"/>
        <v>137955.24282828288</v>
      </c>
      <c r="V25" s="409">
        <f t="shared" si="1"/>
        <v>61017.736944181474</v>
      </c>
      <c r="W25" s="407">
        <f t="shared" si="4"/>
        <v>83990.086122452354</v>
      </c>
      <c r="X25" s="387"/>
      <c r="Y25" s="387"/>
      <c r="Z25" s="387"/>
      <c r="AA25" s="387"/>
      <c r="AB25" s="387"/>
      <c r="AC25" s="387"/>
      <c r="AD25" s="387"/>
      <c r="AE25" s="387"/>
      <c r="AF25" s="387"/>
      <c r="AG25" s="387"/>
      <c r="AH25" s="387"/>
    </row>
    <row r="26" spans="1:34" ht="15.6" x14ac:dyDescent="0.3">
      <c r="A26" s="403">
        <f t="shared" si="2"/>
        <v>15</v>
      </c>
      <c r="B26" s="410">
        <f t="shared" si="10"/>
        <v>28000</v>
      </c>
      <c r="C26" s="404">
        <f>B26*'Price and Yields'!$D$16</f>
        <v>400260.00000000006</v>
      </c>
      <c r="D26" s="404"/>
      <c r="E26" s="405">
        <f t="shared" si="11"/>
        <v>506.57142857142861</v>
      </c>
      <c r="F26" s="406">
        <f t="shared" si="12"/>
        <v>12540</v>
      </c>
      <c r="G26" s="406">
        <f t="shared" si="13"/>
        <v>21501.280000000002</v>
      </c>
      <c r="H26" s="406">
        <f t="shared" si="14"/>
        <v>780.00000000000011</v>
      </c>
      <c r="I26" s="406">
        <f t="shared" si="15"/>
        <v>3327.46</v>
      </c>
      <c r="J26" s="406">
        <f t="shared" si="16"/>
        <v>3573.4285714285716</v>
      </c>
      <c r="K26" s="406">
        <f t="shared" si="17"/>
        <v>3450.0000000000005</v>
      </c>
      <c r="L26" s="406">
        <f t="shared" si="18"/>
        <v>0</v>
      </c>
      <c r="M26" s="406">
        <f t="shared" si="19"/>
        <v>178576.01717171719</v>
      </c>
      <c r="N26" s="406">
        <f t="shared" si="5"/>
        <v>2000</v>
      </c>
      <c r="O26" s="406">
        <f t="shared" si="6"/>
        <v>1250</v>
      </c>
      <c r="P26" s="406">
        <f t="shared" si="7"/>
        <v>1500</v>
      </c>
      <c r="Q26" s="406">
        <f t="shared" si="8"/>
        <v>8300</v>
      </c>
      <c r="R26" s="406">
        <f t="shared" si="9"/>
        <v>25000</v>
      </c>
      <c r="S26" s="407">
        <f>'Capital Costs'!BA$67</f>
        <v>93350</v>
      </c>
      <c r="T26" s="408" t="str">
        <f t="shared" si="3"/>
        <v/>
      </c>
      <c r="U26" s="405">
        <f t="shared" si="0"/>
        <v>44605.242828282877</v>
      </c>
      <c r="V26" s="409">
        <f t="shared" si="1"/>
        <v>18612.209357866981</v>
      </c>
      <c r="W26" s="407">
        <f t="shared" si="4"/>
        <v>102602.29548031933</v>
      </c>
      <c r="X26" s="387"/>
      <c r="Y26" s="387"/>
      <c r="Z26" s="387"/>
      <c r="AA26" s="387"/>
      <c r="AB26" s="387"/>
      <c r="AC26" s="387"/>
      <c r="AD26" s="387"/>
      <c r="AE26" s="387"/>
      <c r="AF26" s="387"/>
      <c r="AG26" s="387"/>
      <c r="AH26" s="387"/>
    </row>
    <row r="27" spans="1:34" ht="15.6" x14ac:dyDescent="0.3">
      <c r="A27" s="403">
        <f t="shared" si="2"/>
        <v>16</v>
      </c>
      <c r="B27" s="410">
        <f t="shared" si="10"/>
        <v>28000</v>
      </c>
      <c r="C27" s="404">
        <f>B27*'Price and Yields'!$D$16</f>
        <v>400260.00000000006</v>
      </c>
      <c r="D27" s="404"/>
      <c r="E27" s="405">
        <f t="shared" si="11"/>
        <v>506.57142857142861</v>
      </c>
      <c r="F27" s="406">
        <f t="shared" si="12"/>
        <v>12540</v>
      </c>
      <c r="G27" s="406">
        <f t="shared" si="13"/>
        <v>21501.280000000002</v>
      </c>
      <c r="H27" s="406">
        <f t="shared" si="14"/>
        <v>780.00000000000011</v>
      </c>
      <c r="I27" s="406">
        <f t="shared" si="15"/>
        <v>3327.46</v>
      </c>
      <c r="J27" s="406">
        <f t="shared" si="16"/>
        <v>3573.4285714285716</v>
      </c>
      <c r="K27" s="406">
        <f t="shared" si="17"/>
        <v>3450.0000000000005</v>
      </c>
      <c r="L27" s="406">
        <f t="shared" si="18"/>
        <v>0</v>
      </c>
      <c r="M27" s="406">
        <f t="shared" si="19"/>
        <v>178576.01717171719</v>
      </c>
      <c r="N27" s="406">
        <f t="shared" si="5"/>
        <v>2000</v>
      </c>
      <c r="O27" s="406">
        <f t="shared" si="6"/>
        <v>1250</v>
      </c>
      <c r="P27" s="406">
        <f t="shared" si="7"/>
        <v>1500</v>
      </c>
      <c r="Q27" s="406">
        <f t="shared" si="8"/>
        <v>8300</v>
      </c>
      <c r="R27" s="406">
        <f t="shared" si="9"/>
        <v>25000</v>
      </c>
      <c r="S27" s="407">
        <f>'Capital Costs'!BB$67</f>
        <v>1600</v>
      </c>
      <c r="T27" s="408" t="str">
        <f t="shared" si="3"/>
        <v/>
      </c>
      <c r="U27" s="405">
        <f t="shared" si="0"/>
        <v>136355.24282828288</v>
      </c>
      <c r="V27" s="409">
        <f t="shared" si="1"/>
        <v>53675.734604106437</v>
      </c>
      <c r="W27" s="407">
        <f t="shared" si="4"/>
        <v>156278.03008442576</v>
      </c>
      <c r="X27" s="387"/>
      <c r="Y27" s="387"/>
      <c r="Z27" s="387"/>
      <c r="AA27" s="387"/>
      <c r="AB27" s="387"/>
      <c r="AC27" s="387"/>
      <c r="AD27" s="387"/>
      <c r="AE27" s="387"/>
      <c r="AF27" s="387"/>
      <c r="AG27" s="387"/>
      <c r="AH27" s="387"/>
    </row>
    <row r="28" spans="1:34" ht="15.6" x14ac:dyDescent="0.3">
      <c r="A28" s="403">
        <f t="shared" si="2"/>
        <v>17</v>
      </c>
      <c r="B28" s="410">
        <f t="shared" si="10"/>
        <v>28000</v>
      </c>
      <c r="C28" s="404">
        <f>B28*'Price and Yields'!$D$16</f>
        <v>400260.00000000006</v>
      </c>
      <c r="D28" s="404"/>
      <c r="E28" s="405">
        <f t="shared" si="11"/>
        <v>506.57142857142861</v>
      </c>
      <c r="F28" s="406">
        <f t="shared" si="12"/>
        <v>12540</v>
      </c>
      <c r="G28" s="406">
        <f t="shared" si="13"/>
        <v>21501.280000000002</v>
      </c>
      <c r="H28" s="406">
        <f t="shared" si="14"/>
        <v>780.00000000000011</v>
      </c>
      <c r="I28" s="406">
        <f t="shared" si="15"/>
        <v>3327.46</v>
      </c>
      <c r="J28" s="406">
        <f t="shared" si="16"/>
        <v>3573.4285714285716</v>
      </c>
      <c r="K28" s="406">
        <f t="shared" si="17"/>
        <v>3450.0000000000005</v>
      </c>
      <c r="L28" s="406">
        <f t="shared" si="18"/>
        <v>0</v>
      </c>
      <c r="M28" s="406">
        <f t="shared" si="19"/>
        <v>178576.01717171719</v>
      </c>
      <c r="N28" s="406">
        <f t="shared" si="5"/>
        <v>2000</v>
      </c>
      <c r="O28" s="406">
        <f t="shared" si="6"/>
        <v>1250</v>
      </c>
      <c r="P28" s="406">
        <f t="shared" si="7"/>
        <v>1500</v>
      </c>
      <c r="Q28" s="406">
        <f t="shared" si="8"/>
        <v>8300</v>
      </c>
      <c r="R28" s="406">
        <f t="shared" si="9"/>
        <v>25000</v>
      </c>
      <c r="S28" s="407">
        <f>'Capital Costs'!BC$67</f>
        <v>21600</v>
      </c>
      <c r="T28" s="408" t="str">
        <f t="shared" si="3"/>
        <v/>
      </c>
      <c r="U28" s="405">
        <f t="shared" si="0"/>
        <v>116355.24282828288</v>
      </c>
      <c r="V28" s="409">
        <f t="shared" si="1"/>
        <v>43210.197103632971</v>
      </c>
      <c r="W28" s="407">
        <f t="shared" si="4"/>
        <v>199488.22718805872</v>
      </c>
      <c r="X28" s="387"/>
      <c r="Y28" s="387"/>
      <c r="Z28" s="387"/>
      <c r="AA28" s="387"/>
      <c r="AB28" s="387"/>
      <c r="AC28" s="387"/>
      <c r="AD28" s="387"/>
      <c r="AE28" s="387"/>
      <c r="AF28" s="387"/>
      <c r="AG28" s="387"/>
      <c r="AH28" s="387"/>
    </row>
    <row r="29" spans="1:34" ht="15.6" x14ac:dyDescent="0.3">
      <c r="A29" s="403">
        <f t="shared" si="2"/>
        <v>18</v>
      </c>
      <c r="B29" s="410">
        <f t="shared" si="10"/>
        <v>28000</v>
      </c>
      <c r="C29" s="404">
        <f>B29*'Price and Yields'!$D$16</f>
        <v>400260.00000000006</v>
      </c>
      <c r="D29" s="404"/>
      <c r="E29" s="405">
        <f t="shared" si="11"/>
        <v>506.57142857142861</v>
      </c>
      <c r="F29" s="406">
        <f t="shared" si="12"/>
        <v>12540</v>
      </c>
      <c r="G29" s="406">
        <f t="shared" si="13"/>
        <v>21501.280000000002</v>
      </c>
      <c r="H29" s="406">
        <f t="shared" si="14"/>
        <v>780.00000000000011</v>
      </c>
      <c r="I29" s="406">
        <f t="shared" si="15"/>
        <v>3327.46</v>
      </c>
      <c r="J29" s="406">
        <f t="shared" si="16"/>
        <v>3573.4285714285716</v>
      </c>
      <c r="K29" s="406">
        <f t="shared" si="17"/>
        <v>3450.0000000000005</v>
      </c>
      <c r="L29" s="406">
        <f t="shared" si="18"/>
        <v>0</v>
      </c>
      <c r="M29" s="406">
        <f t="shared" si="19"/>
        <v>178576.01717171719</v>
      </c>
      <c r="N29" s="406">
        <f t="shared" si="5"/>
        <v>2000</v>
      </c>
      <c r="O29" s="406">
        <f t="shared" si="6"/>
        <v>1250</v>
      </c>
      <c r="P29" s="406">
        <f t="shared" si="7"/>
        <v>1500</v>
      </c>
      <c r="Q29" s="406">
        <f t="shared" si="8"/>
        <v>8300</v>
      </c>
      <c r="R29" s="406">
        <f t="shared" si="9"/>
        <v>25000</v>
      </c>
      <c r="S29" s="407">
        <f>'Capital Costs'!BD$67</f>
        <v>13500</v>
      </c>
      <c r="T29" s="408" t="str">
        <f t="shared" si="3"/>
        <v/>
      </c>
      <c r="U29" s="405">
        <f t="shared" si="0"/>
        <v>124455.24282828288</v>
      </c>
      <c r="V29" s="409">
        <f t="shared" si="1"/>
        <v>43602.121598366342</v>
      </c>
      <c r="W29" s="407">
        <f t="shared" si="4"/>
        <v>243090.34878642508</v>
      </c>
      <c r="X29" s="387"/>
      <c r="Y29" s="387"/>
      <c r="Z29" s="387"/>
      <c r="AA29" s="387"/>
      <c r="AB29" s="387"/>
      <c r="AC29" s="387"/>
      <c r="AD29" s="387"/>
      <c r="AE29" s="387"/>
      <c r="AF29" s="387"/>
      <c r="AG29" s="387"/>
      <c r="AH29" s="387"/>
    </row>
    <row r="30" spans="1:34" ht="15.6" x14ac:dyDescent="0.3">
      <c r="A30" s="403">
        <f t="shared" si="2"/>
        <v>19</v>
      </c>
      <c r="B30" s="410">
        <f t="shared" si="10"/>
        <v>28000</v>
      </c>
      <c r="C30" s="404">
        <f>B30*'Price and Yields'!$D$16</f>
        <v>400260.00000000006</v>
      </c>
      <c r="D30" s="404"/>
      <c r="E30" s="405">
        <f t="shared" si="11"/>
        <v>506.57142857142861</v>
      </c>
      <c r="F30" s="406">
        <f t="shared" si="12"/>
        <v>12540</v>
      </c>
      <c r="G30" s="406">
        <f t="shared" si="13"/>
        <v>21501.280000000002</v>
      </c>
      <c r="H30" s="406">
        <f t="shared" si="14"/>
        <v>780.00000000000011</v>
      </c>
      <c r="I30" s="406">
        <f t="shared" si="15"/>
        <v>3327.46</v>
      </c>
      <c r="J30" s="406">
        <f t="shared" si="16"/>
        <v>3573.4285714285716</v>
      </c>
      <c r="K30" s="406">
        <f t="shared" si="17"/>
        <v>3450.0000000000005</v>
      </c>
      <c r="L30" s="406">
        <f t="shared" si="18"/>
        <v>0</v>
      </c>
      <c r="M30" s="406">
        <f t="shared" si="19"/>
        <v>178576.01717171719</v>
      </c>
      <c r="N30" s="406">
        <f t="shared" si="5"/>
        <v>2000</v>
      </c>
      <c r="O30" s="406">
        <f t="shared" si="6"/>
        <v>1250</v>
      </c>
      <c r="P30" s="406">
        <f t="shared" si="7"/>
        <v>1500</v>
      </c>
      <c r="Q30" s="406">
        <f t="shared" si="8"/>
        <v>8300</v>
      </c>
      <c r="R30" s="406">
        <f t="shared" si="9"/>
        <v>25000</v>
      </c>
      <c r="S30" s="407">
        <f>'Capital Costs'!BE$67</f>
        <v>1000</v>
      </c>
      <c r="T30" s="408" t="str">
        <f t="shared" si="3"/>
        <v/>
      </c>
      <c r="U30" s="405">
        <f t="shared" si="0"/>
        <v>136955.24282828288</v>
      </c>
      <c r="V30" s="409">
        <f t="shared" si="1"/>
        <v>45265.489610831501</v>
      </c>
      <c r="W30" s="407">
        <f t="shared" si="4"/>
        <v>288355.83839725656</v>
      </c>
      <c r="X30" s="387"/>
      <c r="Y30" s="387"/>
      <c r="Z30" s="387"/>
      <c r="AA30" s="387"/>
      <c r="AB30" s="387"/>
      <c r="AC30" s="387"/>
      <c r="AD30" s="387"/>
      <c r="AE30" s="387"/>
      <c r="AF30" s="387"/>
      <c r="AG30" s="387"/>
      <c r="AH30" s="387"/>
    </row>
    <row r="31" spans="1:34" s="414" customFormat="1" ht="15.6" x14ac:dyDescent="0.3">
      <c r="A31" s="411">
        <f t="shared" si="2"/>
        <v>20</v>
      </c>
      <c r="B31" s="412">
        <f t="shared" si="10"/>
        <v>28000</v>
      </c>
      <c r="C31" s="404">
        <f>B31*'Price and Yields'!$D$16</f>
        <v>400260.00000000006</v>
      </c>
      <c r="D31" s="406"/>
      <c r="E31" s="405">
        <f t="shared" si="11"/>
        <v>506.57142857142861</v>
      </c>
      <c r="F31" s="406">
        <f t="shared" si="12"/>
        <v>12540</v>
      </c>
      <c r="G31" s="406">
        <f t="shared" si="13"/>
        <v>21501.280000000002</v>
      </c>
      <c r="H31" s="406">
        <f t="shared" si="14"/>
        <v>780.00000000000011</v>
      </c>
      <c r="I31" s="406">
        <f t="shared" si="15"/>
        <v>3327.46</v>
      </c>
      <c r="J31" s="406">
        <f t="shared" si="16"/>
        <v>3573.4285714285716</v>
      </c>
      <c r="K31" s="406">
        <f t="shared" si="17"/>
        <v>3450.0000000000005</v>
      </c>
      <c r="L31" s="406">
        <f t="shared" si="18"/>
        <v>0</v>
      </c>
      <c r="M31" s="406">
        <f t="shared" si="19"/>
        <v>178576.01717171719</v>
      </c>
      <c r="N31" s="406">
        <f t="shared" si="5"/>
        <v>2000</v>
      </c>
      <c r="O31" s="406">
        <f t="shared" si="6"/>
        <v>1250</v>
      </c>
      <c r="P31" s="406">
        <f t="shared" si="7"/>
        <v>1500</v>
      </c>
      <c r="Q31" s="406">
        <f t="shared" si="8"/>
        <v>8300</v>
      </c>
      <c r="R31" s="406">
        <f t="shared" si="9"/>
        <v>25000</v>
      </c>
      <c r="S31" s="407">
        <f>'Capital Costs'!BF$67</f>
        <v>14280</v>
      </c>
      <c r="T31" s="408" t="str">
        <f t="shared" si="3"/>
        <v/>
      </c>
      <c r="U31" s="405">
        <f t="shared" si="0"/>
        <v>123675.24282828288</v>
      </c>
      <c r="V31" s="409">
        <f t="shared" si="1"/>
        <v>38562.525312642894</v>
      </c>
      <c r="W31" s="407">
        <f t="shared" si="4"/>
        <v>326918.36370989948</v>
      </c>
      <c r="X31" s="413"/>
      <c r="Y31" s="413"/>
      <c r="Z31" s="413"/>
      <c r="AA31" s="413"/>
      <c r="AB31" s="413"/>
      <c r="AC31" s="413"/>
      <c r="AD31" s="413"/>
      <c r="AE31" s="413"/>
      <c r="AF31" s="413"/>
      <c r="AG31" s="413"/>
      <c r="AH31" s="413"/>
    </row>
    <row r="32" spans="1:34" s="414" customFormat="1" ht="15.6" x14ac:dyDescent="0.3">
      <c r="A32" s="411">
        <f t="shared" si="2"/>
        <v>21</v>
      </c>
      <c r="B32" s="412">
        <f t="shared" si="10"/>
        <v>28000</v>
      </c>
      <c r="C32" s="404">
        <f>B32*'Price and Yields'!$D$16</f>
        <v>400260.00000000006</v>
      </c>
      <c r="D32" s="406"/>
      <c r="E32" s="405">
        <f t="shared" si="11"/>
        <v>506.57142857142861</v>
      </c>
      <c r="F32" s="406">
        <f t="shared" si="12"/>
        <v>12540</v>
      </c>
      <c r="G32" s="406">
        <f t="shared" si="13"/>
        <v>21501.280000000002</v>
      </c>
      <c r="H32" s="406">
        <f t="shared" si="14"/>
        <v>780.00000000000011</v>
      </c>
      <c r="I32" s="406">
        <f t="shared" si="15"/>
        <v>3327.46</v>
      </c>
      <c r="J32" s="406">
        <f t="shared" si="16"/>
        <v>3573.4285714285716</v>
      </c>
      <c r="K32" s="406">
        <f t="shared" si="17"/>
        <v>3450.0000000000005</v>
      </c>
      <c r="L32" s="406">
        <f t="shared" si="18"/>
        <v>0</v>
      </c>
      <c r="M32" s="406">
        <f t="shared" si="19"/>
        <v>178576.01717171719</v>
      </c>
      <c r="N32" s="406">
        <f t="shared" si="5"/>
        <v>2000</v>
      </c>
      <c r="O32" s="406">
        <f t="shared" si="6"/>
        <v>1250</v>
      </c>
      <c r="P32" s="406">
        <f t="shared" si="7"/>
        <v>1500</v>
      </c>
      <c r="Q32" s="406">
        <f t="shared" si="8"/>
        <v>8300</v>
      </c>
      <c r="R32" s="406">
        <f t="shared" si="9"/>
        <v>25000</v>
      </c>
      <c r="S32" s="407">
        <f>'Capital Costs'!BG$67</f>
        <v>0</v>
      </c>
      <c r="T32" s="408" t="str">
        <f t="shared" si="3"/>
        <v/>
      </c>
      <c r="U32" s="405">
        <f t="shared" si="0"/>
        <v>137955.24282828288</v>
      </c>
      <c r="V32" s="409">
        <f t="shared" si="1"/>
        <v>40580.280011864314</v>
      </c>
      <c r="W32" s="407">
        <f t="shared" si="4"/>
        <v>367498.6437217638</v>
      </c>
      <c r="X32" s="413"/>
      <c r="Y32" s="413"/>
      <c r="Z32" s="413"/>
      <c r="AA32" s="413"/>
      <c r="AB32" s="413"/>
      <c r="AC32" s="413"/>
      <c r="AD32" s="413"/>
      <c r="AE32" s="413"/>
      <c r="AF32" s="413"/>
      <c r="AG32" s="413"/>
      <c r="AH32" s="413"/>
    </row>
    <row r="33" spans="1:34" s="414" customFormat="1" ht="15.6" x14ac:dyDescent="0.3">
      <c r="A33" s="411">
        <f t="shared" si="2"/>
        <v>22</v>
      </c>
      <c r="B33" s="412">
        <f t="shared" si="10"/>
        <v>28000</v>
      </c>
      <c r="C33" s="404">
        <f>B33*'Price and Yields'!$D$16</f>
        <v>400260.00000000006</v>
      </c>
      <c r="D33" s="406"/>
      <c r="E33" s="405">
        <f t="shared" si="11"/>
        <v>506.57142857142861</v>
      </c>
      <c r="F33" s="406">
        <f t="shared" si="12"/>
        <v>12540</v>
      </c>
      <c r="G33" s="406">
        <f t="shared" si="13"/>
        <v>21501.280000000002</v>
      </c>
      <c r="H33" s="406">
        <f t="shared" si="14"/>
        <v>780.00000000000011</v>
      </c>
      <c r="I33" s="406">
        <f t="shared" si="15"/>
        <v>3327.46</v>
      </c>
      <c r="J33" s="406">
        <f t="shared" si="16"/>
        <v>3573.4285714285716</v>
      </c>
      <c r="K33" s="406">
        <f t="shared" si="17"/>
        <v>3450.0000000000005</v>
      </c>
      <c r="L33" s="406">
        <f t="shared" si="18"/>
        <v>0</v>
      </c>
      <c r="M33" s="406">
        <f t="shared" si="19"/>
        <v>178576.01717171719</v>
      </c>
      <c r="N33" s="406">
        <f t="shared" si="5"/>
        <v>2000</v>
      </c>
      <c r="O33" s="406">
        <f t="shared" si="6"/>
        <v>1250</v>
      </c>
      <c r="P33" s="406">
        <f t="shared" si="7"/>
        <v>1500</v>
      </c>
      <c r="Q33" s="406">
        <f t="shared" si="8"/>
        <v>8300</v>
      </c>
      <c r="R33" s="406">
        <f t="shared" si="9"/>
        <v>25000</v>
      </c>
      <c r="S33" s="407">
        <f>'Capital Costs'!BH$67</f>
        <v>1000</v>
      </c>
      <c r="T33" s="408" t="str">
        <f t="shared" si="3"/>
        <v/>
      </c>
      <c r="U33" s="405">
        <f t="shared" si="0"/>
        <v>136955.24282828288</v>
      </c>
      <c r="V33" s="409">
        <f t="shared" si="1"/>
        <v>38005.777933152443</v>
      </c>
      <c r="W33" s="407">
        <f t="shared" si="4"/>
        <v>405504.42165491625</v>
      </c>
      <c r="X33" s="413"/>
      <c r="Y33" s="413"/>
      <c r="Z33" s="413"/>
      <c r="AA33" s="413"/>
      <c r="AB33" s="413"/>
      <c r="AC33" s="413"/>
      <c r="AD33" s="413"/>
      <c r="AE33" s="413"/>
      <c r="AF33" s="413"/>
      <c r="AG33" s="413"/>
      <c r="AH33" s="413"/>
    </row>
    <row r="34" spans="1:34" s="414" customFormat="1" ht="15.6" x14ac:dyDescent="0.3">
      <c r="A34" s="411">
        <f t="shared" si="2"/>
        <v>23</v>
      </c>
      <c r="B34" s="412">
        <f t="shared" si="10"/>
        <v>28000</v>
      </c>
      <c r="C34" s="404">
        <f>B34*'Price and Yields'!$D$16</f>
        <v>400260.00000000006</v>
      </c>
      <c r="D34" s="406"/>
      <c r="E34" s="405">
        <f t="shared" si="11"/>
        <v>506.57142857142861</v>
      </c>
      <c r="F34" s="406">
        <f t="shared" si="12"/>
        <v>12540</v>
      </c>
      <c r="G34" s="406">
        <f t="shared" si="13"/>
        <v>21501.280000000002</v>
      </c>
      <c r="H34" s="406">
        <f t="shared" si="14"/>
        <v>780.00000000000011</v>
      </c>
      <c r="I34" s="406">
        <f t="shared" si="15"/>
        <v>3327.46</v>
      </c>
      <c r="J34" s="406">
        <f t="shared" si="16"/>
        <v>3573.4285714285716</v>
      </c>
      <c r="K34" s="406">
        <f t="shared" si="17"/>
        <v>3450.0000000000005</v>
      </c>
      <c r="L34" s="406">
        <f t="shared" si="18"/>
        <v>0</v>
      </c>
      <c r="M34" s="406">
        <f t="shared" si="19"/>
        <v>178576.01717171719</v>
      </c>
      <c r="N34" s="406">
        <f t="shared" si="5"/>
        <v>2000</v>
      </c>
      <c r="O34" s="406">
        <f t="shared" si="6"/>
        <v>1250</v>
      </c>
      <c r="P34" s="406">
        <f t="shared" si="7"/>
        <v>1500</v>
      </c>
      <c r="Q34" s="406">
        <f t="shared" si="8"/>
        <v>8300</v>
      </c>
      <c r="R34" s="406">
        <f t="shared" si="9"/>
        <v>25000</v>
      </c>
      <c r="S34" s="407">
        <f>'Capital Costs'!BI$67</f>
        <v>0</v>
      </c>
      <c r="T34" s="408" t="str">
        <f t="shared" si="3"/>
        <v/>
      </c>
      <c r="U34" s="405">
        <f t="shared" si="0"/>
        <v>137955.24282828288</v>
      </c>
      <c r="V34" s="409">
        <f t="shared" si="1"/>
        <v>36116.304745340247</v>
      </c>
      <c r="W34" s="407">
        <f t="shared" si="4"/>
        <v>441620.72640025651</v>
      </c>
      <c r="X34" s="413"/>
      <c r="Y34" s="413"/>
      <c r="Z34" s="413"/>
      <c r="AA34" s="413"/>
      <c r="AB34" s="413"/>
      <c r="AC34" s="413"/>
      <c r="AD34" s="413"/>
      <c r="AE34" s="413"/>
      <c r="AF34" s="413"/>
      <c r="AG34" s="413"/>
      <c r="AH34" s="413"/>
    </row>
    <row r="35" spans="1:34" s="414" customFormat="1" ht="15.6" x14ac:dyDescent="0.3">
      <c r="A35" s="411">
        <f t="shared" si="2"/>
        <v>24</v>
      </c>
      <c r="B35" s="412">
        <f t="shared" si="10"/>
        <v>28000</v>
      </c>
      <c r="C35" s="404">
        <f>B35*'Price and Yields'!$D$16</f>
        <v>400260.00000000006</v>
      </c>
      <c r="D35" s="406"/>
      <c r="E35" s="405">
        <f t="shared" si="11"/>
        <v>506.57142857142861</v>
      </c>
      <c r="F35" s="406">
        <f t="shared" si="12"/>
        <v>12540</v>
      </c>
      <c r="G35" s="406">
        <f t="shared" si="13"/>
        <v>21501.280000000002</v>
      </c>
      <c r="H35" s="406">
        <f t="shared" si="14"/>
        <v>780.00000000000011</v>
      </c>
      <c r="I35" s="406">
        <f t="shared" si="15"/>
        <v>3327.46</v>
      </c>
      <c r="J35" s="406">
        <f t="shared" si="16"/>
        <v>3573.4285714285716</v>
      </c>
      <c r="K35" s="406">
        <f t="shared" si="17"/>
        <v>3450.0000000000005</v>
      </c>
      <c r="L35" s="406">
        <f t="shared" si="18"/>
        <v>0</v>
      </c>
      <c r="M35" s="406">
        <f t="shared" si="19"/>
        <v>178576.01717171719</v>
      </c>
      <c r="N35" s="406">
        <f t="shared" si="5"/>
        <v>2000</v>
      </c>
      <c r="O35" s="406">
        <f t="shared" si="6"/>
        <v>1250</v>
      </c>
      <c r="P35" s="406">
        <f t="shared" si="7"/>
        <v>1500</v>
      </c>
      <c r="Q35" s="406">
        <f t="shared" si="8"/>
        <v>8300</v>
      </c>
      <c r="R35" s="406">
        <f t="shared" si="9"/>
        <v>25000</v>
      </c>
      <c r="S35" s="407">
        <f>'Capital Costs'!BJ$67</f>
        <v>600</v>
      </c>
      <c r="T35" s="408" t="str">
        <f t="shared" si="3"/>
        <v/>
      </c>
      <c r="U35" s="405">
        <f t="shared" si="0"/>
        <v>137355.24282828288</v>
      </c>
      <c r="V35" s="409">
        <f t="shared" si="1"/>
        <v>33923.798479811085</v>
      </c>
      <c r="W35" s="407">
        <f t="shared" si="4"/>
        <v>475544.52488006756</v>
      </c>
      <c r="X35" s="413"/>
      <c r="Y35" s="413"/>
      <c r="Z35" s="413"/>
      <c r="AA35" s="413"/>
      <c r="AB35" s="413"/>
      <c r="AC35" s="413"/>
      <c r="AD35" s="413"/>
      <c r="AE35" s="413"/>
      <c r="AF35" s="413"/>
      <c r="AG35" s="413"/>
      <c r="AH35" s="413"/>
    </row>
    <row r="36" spans="1:34" s="414" customFormat="1" ht="15.6" x14ac:dyDescent="0.3">
      <c r="A36" s="411">
        <f t="shared" si="2"/>
        <v>25</v>
      </c>
      <c r="B36" s="412">
        <f t="shared" si="10"/>
        <v>28000</v>
      </c>
      <c r="C36" s="404">
        <f>B36*'Price and Yields'!$D$16</f>
        <v>400260.00000000006</v>
      </c>
      <c r="D36" s="406"/>
      <c r="E36" s="405">
        <f t="shared" si="11"/>
        <v>506.57142857142861</v>
      </c>
      <c r="F36" s="406">
        <f t="shared" si="12"/>
        <v>12540</v>
      </c>
      <c r="G36" s="406">
        <f t="shared" si="13"/>
        <v>21501.280000000002</v>
      </c>
      <c r="H36" s="406">
        <f t="shared" si="14"/>
        <v>780.00000000000011</v>
      </c>
      <c r="I36" s="406">
        <f t="shared" si="15"/>
        <v>3327.46</v>
      </c>
      <c r="J36" s="406">
        <f t="shared" si="16"/>
        <v>3573.4285714285716</v>
      </c>
      <c r="K36" s="406">
        <f t="shared" si="17"/>
        <v>3450.0000000000005</v>
      </c>
      <c r="L36" s="406">
        <f t="shared" si="18"/>
        <v>0</v>
      </c>
      <c r="M36" s="406">
        <f t="shared" si="19"/>
        <v>178576.01717171719</v>
      </c>
      <c r="N36" s="406">
        <f t="shared" si="5"/>
        <v>2000</v>
      </c>
      <c r="O36" s="406">
        <f t="shared" si="6"/>
        <v>1250</v>
      </c>
      <c r="P36" s="406">
        <f t="shared" si="7"/>
        <v>1500</v>
      </c>
      <c r="Q36" s="406">
        <f t="shared" si="8"/>
        <v>8300</v>
      </c>
      <c r="R36" s="406">
        <f t="shared" si="9"/>
        <v>25000</v>
      </c>
      <c r="S36" s="407">
        <f>'Capital Costs'!BK$67</f>
        <v>1000</v>
      </c>
      <c r="T36" s="408" t="str">
        <f t="shared" si="3"/>
        <v/>
      </c>
      <c r="U36" s="405">
        <f t="shared" si="0"/>
        <v>136955.24282828288</v>
      </c>
      <c r="V36" s="409">
        <f t="shared" si="1"/>
        <v>31910.384019318331</v>
      </c>
      <c r="W36" s="407">
        <f t="shared" si="4"/>
        <v>507454.90889938589</v>
      </c>
      <c r="X36" s="413"/>
      <c r="Y36" s="413"/>
      <c r="Z36" s="413"/>
      <c r="AA36" s="413"/>
      <c r="AB36" s="413"/>
      <c r="AC36" s="413"/>
      <c r="AD36" s="413"/>
      <c r="AE36" s="413"/>
      <c r="AF36" s="413"/>
      <c r="AG36" s="413"/>
      <c r="AH36" s="413"/>
    </row>
    <row r="37" spans="1:34" s="414" customFormat="1" ht="15.6" x14ac:dyDescent="0.3">
      <c r="A37" s="411">
        <f t="shared" si="2"/>
        <v>26</v>
      </c>
      <c r="B37" s="412">
        <f t="shared" si="10"/>
        <v>28000</v>
      </c>
      <c r="C37" s="404">
        <f>B37*'Price and Yields'!$D$16</f>
        <v>400260.00000000006</v>
      </c>
      <c r="D37" s="406"/>
      <c r="E37" s="405">
        <f t="shared" si="11"/>
        <v>506.57142857142861</v>
      </c>
      <c r="F37" s="406">
        <f t="shared" si="12"/>
        <v>12540</v>
      </c>
      <c r="G37" s="406">
        <f t="shared" si="13"/>
        <v>21501.280000000002</v>
      </c>
      <c r="H37" s="406">
        <f t="shared" si="14"/>
        <v>780.00000000000011</v>
      </c>
      <c r="I37" s="406">
        <f t="shared" si="15"/>
        <v>3327.46</v>
      </c>
      <c r="J37" s="406">
        <f t="shared" si="16"/>
        <v>3573.4285714285716</v>
      </c>
      <c r="K37" s="406">
        <f t="shared" si="17"/>
        <v>3450.0000000000005</v>
      </c>
      <c r="L37" s="406">
        <f t="shared" si="18"/>
        <v>0</v>
      </c>
      <c r="M37" s="406">
        <f t="shared" si="19"/>
        <v>178576.01717171719</v>
      </c>
      <c r="N37" s="406">
        <f t="shared" si="5"/>
        <v>2000</v>
      </c>
      <c r="O37" s="406">
        <f t="shared" si="6"/>
        <v>1250</v>
      </c>
      <c r="P37" s="406">
        <f t="shared" si="7"/>
        <v>1500</v>
      </c>
      <c r="Q37" s="406">
        <f t="shared" si="8"/>
        <v>8300</v>
      </c>
      <c r="R37" s="406">
        <f t="shared" si="9"/>
        <v>25000</v>
      </c>
      <c r="S37" s="407">
        <f>'Capital Costs'!BL$67</f>
        <v>0</v>
      </c>
      <c r="T37" s="408" t="str">
        <f t="shared" si="3"/>
        <v/>
      </c>
      <c r="U37" s="405">
        <f t="shared" si="0"/>
        <v>137955.24282828288</v>
      </c>
      <c r="V37" s="409">
        <f t="shared" si="1"/>
        <v>30323.945896058704</v>
      </c>
      <c r="W37" s="407">
        <f t="shared" si="4"/>
        <v>537778.85479544464</v>
      </c>
      <c r="X37" s="413"/>
      <c r="Y37" s="413"/>
      <c r="Z37" s="413"/>
      <c r="AA37" s="413"/>
      <c r="AB37" s="413"/>
      <c r="AC37" s="413"/>
      <c r="AD37" s="413"/>
      <c r="AE37" s="413"/>
      <c r="AF37" s="413"/>
      <c r="AG37" s="413"/>
      <c r="AH37" s="413"/>
    </row>
    <row r="38" spans="1:34" s="414" customFormat="1" ht="15.6" x14ac:dyDescent="0.3">
      <c r="A38" s="411">
        <f t="shared" si="2"/>
        <v>27</v>
      </c>
      <c r="B38" s="412">
        <f t="shared" si="10"/>
        <v>28000</v>
      </c>
      <c r="C38" s="404">
        <f>B38*'Price and Yields'!$D$16</f>
        <v>400260.00000000006</v>
      </c>
      <c r="D38" s="406"/>
      <c r="E38" s="405">
        <f t="shared" si="11"/>
        <v>506.57142857142861</v>
      </c>
      <c r="F38" s="406">
        <f t="shared" si="12"/>
        <v>12540</v>
      </c>
      <c r="G38" s="406">
        <f t="shared" si="13"/>
        <v>21501.280000000002</v>
      </c>
      <c r="H38" s="406">
        <f t="shared" si="14"/>
        <v>780.00000000000011</v>
      </c>
      <c r="I38" s="406">
        <f t="shared" si="15"/>
        <v>3327.46</v>
      </c>
      <c r="J38" s="406">
        <f t="shared" si="16"/>
        <v>3573.4285714285716</v>
      </c>
      <c r="K38" s="406">
        <f t="shared" si="17"/>
        <v>3450.0000000000005</v>
      </c>
      <c r="L38" s="406">
        <f t="shared" si="18"/>
        <v>0</v>
      </c>
      <c r="M38" s="406">
        <f t="shared" si="19"/>
        <v>178576.01717171719</v>
      </c>
      <c r="N38" s="406">
        <f t="shared" si="5"/>
        <v>2000</v>
      </c>
      <c r="O38" s="406">
        <f t="shared" si="6"/>
        <v>1250</v>
      </c>
      <c r="P38" s="406">
        <f t="shared" si="7"/>
        <v>1500</v>
      </c>
      <c r="Q38" s="406">
        <f t="shared" si="8"/>
        <v>8300</v>
      </c>
      <c r="R38" s="406">
        <f t="shared" si="9"/>
        <v>25000</v>
      </c>
      <c r="S38" s="407">
        <f>'Capital Costs'!BM$67</f>
        <v>0</v>
      </c>
      <c r="T38" s="408" t="str">
        <f t="shared" si="3"/>
        <v/>
      </c>
      <c r="U38" s="405">
        <f t="shared" si="0"/>
        <v>137955.24282828288</v>
      </c>
      <c r="V38" s="409">
        <f t="shared" si="1"/>
        <v>28607.496128357263</v>
      </c>
      <c r="W38" s="407">
        <f t="shared" si="4"/>
        <v>566386.35092380189</v>
      </c>
      <c r="X38" s="413"/>
      <c r="Y38" s="413"/>
      <c r="Z38" s="413"/>
      <c r="AA38" s="413"/>
      <c r="AB38" s="413"/>
      <c r="AC38" s="413"/>
      <c r="AD38" s="413"/>
      <c r="AE38" s="413"/>
      <c r="AF38" s="413"/>
      <c r="AG38" s="413"/>
      <c r="AH38" s="413"/>
    </row>
    <row r="39" spans="1:34" s="414" customFormat="1" ht="15.6" x14ac:dyDescent="0.3">
      <c r="A39" s="411">
        <f t="shared" si="2"/>
        <v>28</v>
      </c>
      <c r="B39" s="412">
        <f t="shared" si="10"/>
        <v>28000</v>
      </c>
      <c r="C39" s="404">
        <f>B39*'Price and Yields'!$D$16</f>
        <v>400260.00000000006</v>
      </c>
      <c r="D39" s="406"/>
      <c r="E39" s="405">
        <f t="shared" si="11"/>
        <v>506.57142857142861</v>
      </c>
      <c r="F39" s="406">
        <f t="shared" si="12"/>
        <v>12540</v>
      </c>
      <c r="G39" s="406">
        <f t="shared" si="13"/>
        <v>21501.280000000002</v>
      </c>
      <c r="H39" s="406">
        <f t="shared" si="14"/>
        <v>780.00000000000011</v>
      </c>
      <c r="I39" s="406">
        <f t="shared" si="15"/>
        <v>3327.46</v>
      </c>
      <c r="J39" s="406">
        <f t="shared" si="16"/>
        <v>3573.4285714285716</v>
      </c>
      <c r="K39" s="406">
        <f t="shared" si="17"/>
        <v>3450.0000000000005</v>
      </c>
      <c r="L39" s="406">
        <f t="shared" si="18"/>
        <v>0</v>
      </c>
      <c r="M39" s="406">
        <f t="shared" si="19"/>
        <v>178576.01717171719</v>
      </c>
      <c r="N39" s="406">
        <f t="shared" si="5"/>
        <v>2000</v>
      </c>
      <c r="O39" s="406">
        <f t="shared" si="6"/>
        <v>1250</v>
      </c>
      <c r="P39" s="406">
        <f t="shared" si="7"/>
        <v>1500</v>
      </c>
      <c r="Q39" s="406">
        <f t="shared" si="8"/>
        <v>8300</v>
      </c>
      <c r="R39" s="406">
        <f t="shared" si="9"/>
        <v>25000</v>
      </c>
      <c r="S39" s="407">
        <f>'Capital Costs'!BN$67</f>
        <v>1600</v>
      </c>
      <c r="T39" s="408" t="str">
        <f t="shared" si="3"/>
        <v/>
      </c>
      <c r="U39" s="405">
        <f t="shared" si="0"/>
        <v>136355.24282828288</v>
      </c>
      <c r="V39" s="409">
        <f t="shared" si="1"/>
        <v>26675.19566573076</v>
      </c>
      <c r="W39" s="407">
        <f t="shared" si="4"/>
        <v>593061.54658953263</v>
      </c>
      <c r="X39" s="413"/>
      <c r="Y39" s="413"/>
      <c r="Z39" s="413"/>
      <c r="AA39" s="413"/>
      <c r="AB39" s="413"/>
      <c r="AC39" s="413"/>
      <c r="AD39" s="413"/>
      <c r="AE39" s="413"/>
      <c r="AF39" s="413"/>
      <c r="AG39" s="413"/>
      <c r="AH39" s="413"/>
    </row>
    <row r="40" spans="1:34" s="414" customFormat="1" ht="15.6" x14ac:dyDescent="0.3">
      <c r="A40" s="411">
        <f t="shared" si="2"/>
        <v>29</v>
      </c>
      <c r="B40" s="412">
        <f t="shared" si="10"/>
        <v>28000</v>
      </c>
      <c r="C40" s="404">
        <f>B40*'Price and Yields'!$D$16</f>
        <v>400260.00000000006</v>
      </c>
      <c r="D40" s="406"/>
      <c r="E40" s="405">
        <f t="shared" si="11"/>
        <v>506.57142857142861</v>
      </c>
      <c r="F40" s="406">
        <f t="shared" si="12"/>
        <v>12540</v>
      </c>
      <c r="G40" s="406">
        <f t="shared" si="13"/>
        <v>21501.280000000002</v>
      </c>
      <c r="H40" s="406">
        <f t="shared" si="14"/>
        <v>780.00000000000011</v>
      </c>
      <c r="I40" s="406">
        <f t="shared" si="15"/>
        <v>3327.46</v>
      </c>
      <c r="J40" s="406">
        <f t="shared" si="16"/>
        <v>3573.4285714285716</v>
      </c>
      <c r="K40" s="406">
        <f t="shared" si="17"/>
        <v>3450.0000000000005</v>
      </c>
      <c r="L40" s="406">
        <f t="shared" si="18"/>
        <v>0</v>
      </c>
      <c r="M40" s="406">
        <f t="shared" si="19"/>
        <v>178576.01717171719</v>
      </c>
      <c r="N40" s="406">
        <f t="shared" si="5"/>
        <v>2000</v>
      </c>
      <c r="O40" s="406">
        <f t="shared" si="6"/>
        <v>1250</v>
      </c>
      <c r="P40" s="406">
        <f t="shared" si="7"/>
        <v>1500</v>
      </c>
      <c r="Q40" s="406">
        <f t="shared" si="8"/>
        <v>8300</v>
      </c>
      <c r="R40" s="406">
        <f t="shared" si="9"/>
        <v>25000</v>
      </c>
      <c r="S40" s="407">
        <f>'Capital Costs'!BO$67</f>
        <v>0</v>
      </c>
      <c r="T40" s="408" t="str">
        <f t="shared" si="3"/>
        <v/>
      </c>
      <c r="U40" s="405">
        <f t="shared" si="0"/>
        <v>137955.24282828288</v>
      </c>
      <c r="V40" s="409">
        <f t="shared" si="1"/>
        <v>25460.569711959113</v>
      </c>
      <c r="W40" s="407">
        <f t="shared" si="4"/>
        <v>618522.11630149174</v>
      </c>
      <c r="X40" s="413"/>
      <c r="Y40" s="413"/>
      <c r="Z40" s="413"/>
      <c r="AA40" s="413"/>
      <c r="AB40" s="413"/>
      <c r="AC40" s="413"/>
      <c r="AD40" s="413"/>
      <c r="AE40" s="413"/>
      <c r="AF40" s="413"/>
      <c r="AG40" s="413"/>
      <c r="AH40" s="413"/>
    </row>
    <row r="41" spans="1:34" ht="15.6" x14ac:dyDescent="0.3">
      <c r="A41" s="415">
        <f t="shared" si="2"/>
        <v>30</v>
      </c>
      <c r="B41" s="416">
        <f t="shared" si="10"/>
        <v>28000</v>
      </c>
      <c r="C41" s="417">
        <f>B41*'Price and Yields'!$D$16</f>
        <v>400260.00000000006</v>
      </c>
      <c r="D41" s="417"/>
      <c r="E41" s="418">
        <f t="shared" si="11"/>
        <v>506.57142857142861</v>
      </c>
      <c r="F41" s="417">
        <f t="shared" si="12"/>
        <v>12540</v>
      </c>
      <c r="G41" s="417">
        <f t="shared" si="13"/>
        <v>21501.280000000002</v>
      </c>
      <c r="H41" s="417">
        <f t="shared" si="14"/>
        <v>780.00000000000011</v>
      </c>
      <c r="I41" s="417">
        <f t="shared" si="15"/>
        <v>3327.46</v>
      </c>
      <c r="J41" s="417">
        <f t="shared" si="16"/>
        <v>3573.4285714285716</v>
      </c>
      <c r="K41" s="417">
        <f t="shared" si="17"/>
        <v>3450.0000000000005</v>
      </c>
      <c r="L41" s="417">
        <f t="shared" si="18"/>
        <v>0</v>
      </c>
      <c r="M41" s="417">
        <f t="shared" si="19"/>
        <v>178576.01717171719</v>
      </c>
      <c r="N41" s="417">
        <f t="shared" si="5"/>
        <v>2000</v>
      </c>
      <c r="O41" s="417">
        <f t="shared" si="6"/>
        <v>1250</v>
      </c>
      <c r="P41" s="417">
        <f t="shared" si="7"/>
        <v>1500</v>
      </c>
      <c r="Q41" s="417">
        <f t="shared" si="8"/>
        <v>8300</v>
      </c>
      <c r="R41" s="417">
        <f t="shared" si="9"/>
        <v>25000</v>
      </c>
      <c r="S41" s="419">
        <f>-'Capital Costs'!$D$67</f>
        <v>-67970</v>
      </c>
      <c r="T41" s="420" t="str">
        <f t="shared" si="3"/>
        <v/>
      </c>
      <c r="U41" s="418">
        <f t="shared" si="0"/>
        <v>205925.24282828288</v>
      </c>
      <c r="V41" s="421">
        <f t="shared" si="1"/>
        <v>35853.670986636484</v>
      </c>
      <c r="W41" s="419">
        <f t="shared" si="4"/>
        <v>654375.78728812817</v>
      </c>
      <c r="X41" s="387"/>
      <c r="Y41" s="387"/>
      <c r="Z41" s="387"/>
      <c r="AA41" s="387"/>
      <c r="AB41" s="387"/>
      <c r="AC41" s="387"/>
      <c r="AD41" s="387"/>
      <c r="AE41" s="387"/>
      <c r="AF41" s="387"/>
      <c r="AG41" s="387"/>
      <c r="AH41" s="387"/>
    </row>
    <row r="42" spans="1:34" x14ac:dyDescent="0.25">
      <c r="A42" s="422" t="s">
        <v>212</v>
      </c>
      <c r="B42" s="423">
        <f>NPV($C$2,B12:B41)+B11</f>
        <v>281800.19809250539</v>
      </c>
      <c r="C42" s="424">
        <f>NPV($C$2,C12:C41)+C11</f>
        <v>4028333.8317323648</v>
      </c>
      <c r="D42" s="424"/>
      <c r="E42" s="424">
        <f t="shared" ref="E42:S42" si="20">NPV($C$2,E12:E41)+E11</f>
        <v>6628.0472952802102</v>
      </c>
      <c r="F42" s="424">
        <f t="shared" si="20"/>
        <v>130131.3065176758</v>
      </c>
      <c r="G42" s="424">
        <f t="shared" si="20"/>
        <v>221013.01292044067</v>
      </c>
      <c r="H42" s="424">
        <f t="shared" si="20"/>
        <v>10598.580227472521</v>
      </c>
      <c r="I42" s="424">
        <f t="shared" si="20"/>
        <v>35697.207399489547</v>
      </c>
      <c r="J42" s="424">
        <f t="shared" si="20"/>
        <v>37452.6318424809</v>
      </c>
      <c r="K42" s="424">
        <f t="shared" si="20"/>
        <v>38846.189084929953</v>
      </c>
      <c r="L42" s="424">
        <f t="shared" si="20"/>
        <v>0</v>
      </c>
      <c r="M42" s="424">
        <f t="shared" si="20"/>
        <v>1794906.9884637971</v>
      </c>
      <c r="N42" s="424">
        <f t="shared" si="20"/>
        <v>27529.662302978832</v>
      </c>
      <c r="O42" s="424">
        <f t="shared" si="20"/>
        <v>17206.038939361762</v>
      </c>
      <c r="P42" s="424">
        <f t="shared" si="20"/>
        <v>20647.24672723412</v>
      </c>
      <c r="Q42" s="424">
        <f t="shared" si="20"/>
        <v>114248.09855736216</v>
      </c>
      <c r="R42" s="424">
        <f t="shared" si="20"/>
        <v>356620.77878723538</v>
      </c>
      <c r="S42" s="425">
        <f t="shared" si="20"/>
        <v>562432.2553784973</v>
      </c>
      <c r="T42" s="403"/>
      <c r="U42" s="403"/>
      <c r="V42" s="403"/>
      <c r="W42" s="403"/>
      <c r="X42" s="387"/>
      <c r="Y42" s="387"/>
      <c r="Z42" s="387"/>
      <c r="AA42" s="387"/>
      <c r="AB42" s="387"/>
      <c r="AC42" s="387"/>
      <c r="AD42" s="387"/>
      <c r="AE42" s="387"/>
      <c r="AF42" s="387"/>
      <c r="AG42" s="387"/>
      <c r="AH42" s="387"/>
    </row>
    <row r="43" spans="1:34" x14ac:dyDescent="0.25">
      <c r="A43" s="426" t="s">
        <v>213</v>
      </c>
      <c r="B43" s="427">
        <f>-(PMT($C$2,30,B42))</f>
        <v>20472.477649100198</v>
      </c>
      <c r="C43" s="428">
        <f>-(PMT($C$2,30,C42))</f>
        <v>292654.06799388735</v>
      </c>
      <c r="D43" s="428"/>
      <c r="E43" s="428">
        <f t="shared" ref="E43:S43" si="21">-(PMT($C$2,30,E42))</f>
        <v>481.52042130665887</v>
      </c>
      <c r="F43" s="428">
        <f t="shared" si="21"/>
        <v>9453.8977692868339</v>
      </c>
      <c r="G43" s="428">
        <f t="shared" si="21"/>
        <v>16056.354813805759</v>
      </c>
      <c r="H43" s="428">
        <f t="shared" si="21"/>
        <v>769.97531686581578</v>
      </c>
      <c r="I43" s="428">
        <f t="shared" si="21"/>
        <v>2593.3632608073749</v>
      </c>
      <c r="J43" s="428">
        <f t="shared" si="21"/>
        <v>2720.8929357937191</v>
      </c>
      <c r="K43" s="428">
        <f t="shared" si="21"/>
        <v>2822.1333525567147</v>
      </c>
      <c r="L43" s="428">
        <f t="shared" si="21"/>
        <v>0</v>
      </c>
      <c r="M43" s="428">
        <f t="shared" si="21"/>
        <v>130398.03893777361</v>
      </c>
      <c r="N43" s="428">
        <f t="shared" si="21"/>
        <v>1999.9999999999989</v>
      </c>
      <c r="O43" s="428">
        <f t="shared" si="21"/>
        <v>1249.9999999999986</v>
      </c>
      <c r="P43" s="428">
        <f t="shared" si="21"/>
        <v>1499.9999999999989</v>
      </c>
      <c r="Q43" s="428">
        <f t="shared" si="21"/>
        <v>8299.9999999999945</v>
      </c>
      <c r="R43" s="428">
        <f t="shared" si="21"/>
        <v>25908.111393625575</v>
      </c>
      <c r="S43" s="429">
        <f t="shared" si="21"/>
        <v>40860.091140140088</v>
      </c>
      <c r="T43" s="403"/>
      <c r="U43" s="403"/>
      <c r="V43" s="403"/>
      <c r="W43" s="403"/>
      <c r="X43" s="387"/>
      <c r="Y43" s="387"/>
      <c r="Z43" s="387"/>
      <c r="AA43" s="387"/>
      <c r="AB43" s="387"/>
      <c r="AC43" s="387"/>
      <c r="AD43" s="387"/>
      <c r="AE43" s="387"/>
      <c r="AF43" s="387"/>
      <c r="AG43" s="387"/>
      <c r="AH43" s="387"/>
    </row>
    <row r="44" spans="1:34" s="436" customFormat="1" x14ac:dyDescent="0.25">
      <c r="A44" s="430" t="s">
        <v>214</v>
      </c>
      <c r="B44" s="431"/>
      <c r="C44" s="432">
        <f>C43/$B$43</f>
        <v>14.295000000000002</v>
      </c>
      <c r="D44" s="431"/>
      <c r="E44" s="432">
        <f t="shared" ref="E44:S44" si="22">E43/$B$43</f>
        <v>2.3520378410466725E-2</v>
      </c>
      <c r="F44" s="432">
        <f t="shared" si="22"/>
        <v>0.46178571696730364</v>
      </c>
      <c r="G44" s="432">
        <f t="shared" si="22"/>
        <v>0.78428977132191258</v>
      </c>
      <c r="H44" s="432">
        <f t="shared" si="22"/>
        <v>3.7610265355432326E-2</v>
      </c>
      <c r="I44" s="432">
        <f t="shared" si="22"/>
        <v>0.12667559370476869</v>
      </c>
      <c r="J44" s="432">
        <f t="shared" si="22"/>
        <v>0.13290491666079837</v>
      </c>
      <c r="K44" s="432">
        <f t="shared" si="22"/>
        <v>0.13785011276740861</v>
      </c>
      <c r="L44" s="432">
        <f t="shared" si="22"/>
        <v>0</v>
      </c>
      <c r="M44" s="432">
        <f t="shared" si="22"/>
        <v>6.3694312516934088</v>
      </c>
      <c r="N44" s="432">
        <f t="shared" si="22"/>
        <v>9.769213254400122E-2</v>
      </c>
      <c r="O44" s="432">
        <f t="shared" si="22"/>
        <v>6.1057582840000728E-2</v>
      </c>
      <c r="P44" s="432">
        <f t="shared" si="22"/>
        <v>7.3269099408000901E-2</v>
      </c>
      <c r="Q44" s="432">
        <f t="shared" si="22"/>
        <v>0.40542235005760502</v>
      </c>
      <c r="R44" s="432">
        <f t="shared" si="22"/>
        <v>1.2655093261154096</v>
      </c>
      <c r="S44" s="433">
        <f t="shared" si="22"/>
        <v>1.9958547197112686</v>
      </c>
      <c r="T44" s="434"/>
      <c r="U44" s="434"/>
      <c r="V44" s="434"/>
      <c r="W44" s="434"/>
      <c r="X44" s="435"/>
      <c r="Y44" s="435"/>
      <c r="Z44" s="435"/>
      <c r="AA44" s="435"/>
      <c r="AB44" s="435"/>
      <c r="AC44" s="435"/>
      <c r="AD44" s="435"/>
      <c r="AE44" s="435"/>
      <c r="AF44" s="435"/>
      <c r="AG44" s="435"/>
      <c r="AH44" s="435"/>
    </row>
    <row r="45" spans="1:34" s="436" customFormat="1" x14ac:dyDescent="0.25">
      <c r="A45" s="437" t="s">
        <v>215</v>
      </c>
      <c r="B45" s="438"/>
      <c r="C45" s="439">
        <f>C44*$B$43/$C$6</f>
        <v>146.32703399694367</v>
      </c>
      <c r="D45" s="440"/>
      <c r="E45" s="439">
        <f t="shared" ref="E45:S45" si="23">E44*$B$43/$C$6</f>
        <v>0.24076021065332945</v>
      </c>
      <c r="F45" s="439">
        <f t="shared" si="23"/>
        <v>4.7269488846434173</v>
      </c>
      <c r="G45" s="439">
        <f t="shared" si="23"/>
        <v>8.0281774069028806</v>
      </c>
      <c r="H45" s="439">
        <f t="shared" si="23"/>
        <v>0.38498765843290789</v>
      </c>
      <c r="I45" s="439">
        <f t="shared" si="23"/>
        <v>1.2966816304036874</v>
      </c>
      <c r="J45" s="439">
        <f t="shared" si="23"/>
        <v>1.3604464678968595</v>
      </c>
      <c r="K45" s="439">
        <f t="shared" si="23"/>
        <v>1.4110666762783572</v>
      </c>
      <c r="L45" s="439">
        <f t="shared" si="23"/>
        <v>0</v>
      </c>
      <c r="M45" s="439">
        <f t="shared" si="23"/>
        <v>65.199019468886803</v>
      </c>
      <c r="N45" s="439">
        <f t="shared" si="23"/>
        <v>0.99999999999999956</v>
      </c>
      <c r="O45" s="439">
        <f t="shared" si="23"/>
        <v>0.62499999999999933</v>
      </c>
      <c r="P45" s="439">
        <f t="shared" si="23"/>
        <v>0.74999999999999944</v>
      </c>
      <c r="Q45" s="439">
        <f t="shared" si="23"/>
        <v>4.1499999999999977</v>
      </c>
      <c r="R45" s="439">
        <f t="shared" si="23"/>
        <v>12.954055696812787</v>
      </c>
      <c r="S45" s="441">
        <f t="shared" si="23"/>
        <v>20.430045570070043</v>
      </c>
      <c r="T45" s="434"/>
      <c r="U45" s="434"/>
      <c r="V45" s="434"/>
      <c r="W45" s="434"/>
      <c r="X45" s="435"/>
      <c r="Y45" s="435"/>
      <c r="Z45" s="435"/>
      <c r="AA45" s="435"/>
      <c r="AB45" s="435"/>
      <c r="AC45" s="435"/>
      <c r="AD45" s="435"/>
      <c r="AE45" s="435"/>
      <c r="AF45" s="435"/>
      <c r="AG45" s="435"/>
      <c r="AH45" s="435"/>
    </row>
    <row r="46" spans="1:34" x14ac:dyDescent="0.25">
      <c r="C46" s="442"/>
      <c r="D46" s="387"/>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387"/>
      <c r="AD46" s="387"/>
      <c r="AE46" s="387"/>
      <c r="AF46" s="387"/>
      <c r="AG46" s="387"/>
      <c r="AH46" s="387"/>
    </row>
    <row r="47" spans="1:34" x14ac:dyDescent="0.25">
      <c r="A47" s="387"/>
      <c r="B47" s="442"/>
      <c r="C47" s="442"/>
      <c r="D47" s="387"/>
      <c r="E47" s="387"/>
      <c r="F47" s="387"/>
      <c r="G47" s="387"/>
      <c r="H47" s="387"/>
      <c r="I47" s="387"/>
      <c r="J47" s="387"/>
      <c r="K47" s="387"/>
      <c r="L47" s="387"/>
      <c r="M47" s="387"/>
      <c r="N47" s="387"/>
      <c r="O47" s="387"/>
      <c r="P47" s="387"/>
      <c r="Q47" s="387"/>
      <c r="R47" s="387"/>
      <c r="S47" s="387"/>
      <c r="T47" s="387"/>
      <c r="U47" s="387"/>
      <c r="V47" s="387"/>
      <c r="W47" s="387"/>
      <c r="X47" s="387"/>
      <c r="Y47" s="387"/>
      <c r="Z47" s="387"/>
      <c r="AA47" s="387"/>
      <c r="AB47" s="387"/>
      <c r="AC47" s="387"/>
      <c r="AD47" s="387"/>
      <c r="AE47" s="387"/>
      <c r="AF47" s="387"/>
      <c r="AG47" s="387"/>
      <c r="AH47" s="387"/>
    </row>
    <row r="48" spans="1:34" x14ac:dyDescent="0.25">
      <c r="A48" s="387" t="s">
        <v>216</v>
      </c>
      <c r="B48" s="387"/>
      <c r="C48" s="387"/>
      <c r="D48" s="387"/>
      <c r="E48" s="387"/>
      <c r="F48" s="387"/>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7"/>
      <c r="AH48" s="387"/>
    </row>
    <row r="50" spans="1:5" ht="15.6" x14ac:dyDescent="0.3">
      <c r="A50" s="411"/>
      <c r="B50" s="443" t="s">
        <v>217</v>
      </c>
      <c r="C50" s="443" t="s">
        <v>218</v>
      </c>
      <c r="D50" s="443" t="s">
        <v>219</v>
      </c>
      <c r="E50" s="413"/>
    </row>
    <row r="51" spans="1:5" x14ac:dyDescent="0.25">
      <c r="A51" s="411" t="s">
        <v>212</v>
      </c>
      <c r="B51" s="444">
        <f>C44-SUM(E44:S44)</f>
        <v>2.3221267824422149</v>
      </c>
      <c r="C51" s="445">
        <f>C43-SUM(E43:S43)</f>
        <v>47539.688651925186</v>
      </c>
      <c r="D51" s="444">
        <f>C45-SUM(E45:S45)</f>
        <v>23.769844325962595</v>
      </c>
      <c r="E51" s="413"/>
    </row>
    <row r="52" spans="1:5" x14ac:dyDescent="0.25">
      <c r="A52" s="411" t="s">
        <v>220</v>
      </c>
      <c r="B52" s="446">
        <f>IRR(U11:U41,0.1)</f>
        <v>0.12041468902539121</v>
      </c>
      <c r="C52" s="413"/>
      <c r="D52" s="413"/>
      <c r="E52" s="413"/>
    </row>
  </sheetData>
  <phoneticPr fontId="8" type="noConversion"/>
  <printOptions gridLinesSet="0"/>
  <pageMargins left="0.75" right="0.75" top="1" bottom="1" header="0.5" footer="0.5"/>
  <pageSetup paperSize="9" scale="39" orientation="landscape" horizontalDpi="300" verticalDpi="300" r:id="rId1"/>
  <headerFooter alignWithMargins="0">
    <oddHeader>&amp;A</oddHeader>
    <oddFooter>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5601" r:id="rId4" name="Spinner 1">
              <controlPr defaultSize="0" autoFill="0" autoLine="0" autoPict="0">
                <anchor moveWithCells="1">
                  <from>
                    <xdr:col>3</xdr:col>
                    <xdr:colOff>7620</xdr:colOff>
                    <xdr:row>0</xdr:row>
                    <xdr:rowOff>198120</xdr:rowOff>
                  </from>
                  <to>
                    <xdr:col>3</xdr:col>
                    <xdr:colOff>243840</xdr:colOff>
                    <xdr:row>1</xdr:row>
                    <xdr:rowOff>144780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showRowColHeaders="0" zoomScale="75" workbookViewId="0">
      <selection activeCell="Y29" sqref="Y29"/>
    </sheetView>
  </sheetViews>
  <sheetFormatPr defaultRowHeight="13.2" x14ac:dyDescent="0.25"/>
  <cols>
    <col min="2" max="2" width="32.44140625" bestFit="1" customWidth="1"/>
    <col min="4" max="4" width="15.5546875" customWidth="1"/>
    <col min="5" max="5" width="1.5546875" customWidth="1"/>
  </cols>
  <sheetData>
    <row r="1" spans="1:6" ht="24.6" x14ac:dyDescent="0.4">
      <c r="A1" s="1" t="s">
        <v>0</v>
      </c>
      <c r="B1" s="2"/>
      <c r="C1" s="2"/>
      <c r="D1" s="2"/>
      <c r="E1" s="2"/>
      <c r="F1" s="2"/>
    </row>
    <row r="2" spans="1:6" ht="15.6" x14ac:dyDescent="0.3">
      <c r="A2" s="2"/>
      <c r="B2" s="2"/>
      <c r="C2" s="2"/>
      <c r="D2" s="2"/>
      <c r="E2" s="2"/>
      <c r="F2" s="2"/>
    </row>
    <row r="3" spans="1:6" ht="15.6" x14ac:dyDescent="0.3">
      <c r="A3" s="2"/>
      <c r="B3" s="2"/>
      <c r="C3" s="2"/>
      <c r="D3" s="2"/>
      <c r="E3" s="2"/>
      <c r="F3" s="2"/>
    </row>
    <row r="4" spans="1:6" ht="15.6" x14ac:dyDescent="0.3">
      <c r="A4" s="2"/>
      <c r="B4" s="2" t="s">
        <v>1</v>
      </c>
      <c r="C4" s="2"/>
      <c r="D4" s="3">
        <f>D8/D6</f>
        <v>14.285714285714286</v>
      </c>
      <c r="E4" s="2"/>
      <c r="F4" s="2" t="s">
        <v>2</v>
      </c>
    </row>
    <row r="5" spans="1:6" ht="15.6" x14ac:dyDescent="0.3">
      <c r="A5" s="2"/>
      <c r="B5" s="2"/>
      <c r="C5" s="2"/>
      <c r="D5" s="2"/>
      <c r="E5" s="2"/>
      <c r="F5" s="2"/>
    </row>
    <row r="6" spans="1:6" ht="15.6" x14ac:dyDescent="0.3">
      <c r="A6" s="2"/>
      <c r="B6" s="2" t="s">
        <v>3</v>
      </c>
      <c r="C6" s="2"/>
      <c r="D6" s="4">
        <v>140</v>
      </c>
      <c r="E6" s="2"/>
      <c r="F6" s="2"/>
    </row>
    <row r="7" spans="1:6" ht="15.6" x14ac:dyDescent="0.3">
      <c r="A7" s="2"/>
      <c r="B7" s="2"/>
      <c r="C7" s="2"/>
      <c r="D7" s="2"/>
      <c r="E7" s="2"/>
      <c r="F7" s="2"/>
    </row>
    <row r="8" spans="1:6" ht="15.6" x14ac:dyDescent="0.3">
      <c r="A8" s="2"/>
      <c r="B8" s="2" t="s">
        <v>4</v>
      </c>
      <c r="C8" s="2"/>
      <c r="D8" s="5">
        <v>2000</v>
      </c>
      <c r="E8" s="2"/>
      <c r="F8" s="2"/>
    </row>
    <row r="9" spans="1:6" ht="15.6" x14ac:dyDescent="0.3">
      <c r="A9" s="2"/>
      <c r="B9" s="2"/>
      <c r="C9" s="2"/>
      <c r="D9" s="2"/>
      <c r="E9" s="2"/>
      <c r="F9" s="2"/>
    </row>
    <row r="10" spans="1:6" ht="15.6" x14ac:dyDescent="0.3">
      <c r="A10" s="2"/>
      <c r="B10" s="2" t="s">
        <v>5</v>
      </c>
      <c r="C10" s="2"/>
      <c r="D10" s="6">
        <v>11</v>
      </c>
      <c r="E10" s="2"/>
      <c r="F10" s="2"/>
    </row>
  </sheetData>
  <sheetProtection password="8D83" sheet="1" objects="1" scenarios="1"/>
  <phoneticPr fontId="5" type="noConversion"/>
  <pageMargins left="0.75" right="0.75" top="1" bottom="1" header="0.5" footer="0.5"/>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showGridLines="0" showRowColHeaders="0" zoomScale="75" workbookViewId="0">
      <selection activeCell="Y29" sqref="Y29"/>
    </sheetView>
  </sheetViews>
  <sheetFormatPr defaultColWidth="10.33203125" defaultRowHeight="15" x14ac:dyDescent="0.25"/>
  <cols>
    <col min="1" max="16384" width="10.33203125" style="389"/>
  </cols>
  <sheetData>
    <row r="1" spans="1:5" ht="24.6" x14ac:dyDescent="0.4">
      <c r="A1" s="311" t="s">
        <v>221</v>
      </c>
    </row>
    <row r="2" spans="1:5" x14ac:dyDescent="0.25">
      <c r="A2" s="450" t="s">
        <v>19</v>
      </c>
      <c r="B2" s="450" t="s">
        <v>222</v>
      </c>
      <c r="C2" s="450"/>
      <c r="D2" s="450"/>
      <c r="E2" s="450"/>
    </row>
    <row r="3" spans="1:5" x14ac:dyDescent="0.25">
      <c r="A3" s="450">
        <f>DCF!A11</f>
        <v>0</v>
      </c>
      <c r="B3" s="451">
        <f>DCF!W11</f>
        <v>-403290</v>
      </c>
      <c r="C3" s="450"/>
      <c r="D3" s="450"/>
      <c r="E3" s="450"/>
    </row>
    <row r="4" spans="1:5" x14ac:dyDescent="0.25">
      <c r="A4" s="450">
        <f>DCF!A12</f>
        <v>1</v>
      </c>
      <c r="B4" s="451">
        <f>DCF!W12</f>
        <v>-453857.18005390838</v>
      </c>
      <c r="C4" s="450"/>
      <c r="D4" s="450"/>
      <c r="E4" s="450"/>
    </row>
    <row r="5" spans="1:5" x14ac:dyDescent="0.25">
      <c r="A5" s="450">
        <f>DCF!A13</f>
        <v>2</v>
      </c>
      <c r="B5" s="451">
        <f>DCF!W13</f>
        <v>-552533.37416970916</v>
      </c>
      <c r="C5" s="450"/>
      <c r="D5" s="450"/>
      <c r="E5" s="450"/>
    </row>
    <row r="6" spans="1:5" x14ac:dyDescent="0.25">
      <c r="A6" s="450">
        <f>DCF!A14</f>
        <v>3</v>
      </c>
      <c r="B6" s="451">
        <f>DCF!W14</f>
        <v>-607729.21126994048</v>
      </c>
      <c r="C6" s="450"/>
      <c r="D6" s="450"/>
      <c r="E6" s="450"/>
    </row>
    <row r="7" spans="1:5" x14ac:dyDescent="0.25">
      <c r="A7" s="450">
        <f>DCF!A15</f>
        <v>4</v>
      </c>
      <c r="B7" s="451">
        <f>DCF!W15</f>
        <v>-590946.54754130798</v>
      </c>
      <c r="C7" s="450"/>
      <c r="D7" s="450"/>
      <c r="E7" s="450"/>
    </row>
    <row r="8" spans="1:5" x14ac:dyDescent="0.25">
      <c r="A8" s="450">
        <f>DCF!A16</f>
        <v>5</v>
      </c>
      <c r="B8" s="451">
        <f>DCF!W16</f>
        <v>-561001.31705030671</v>
      </c>
      <c r="C8" s="450"/>
      <c r="D8" s="450"/>
      <c r="E8" s="450"/>
    </row>
    <row r="9" spans="1:5" x14ac:dyDescent="0.25">
      <c r="A9" s="450">
        <f>DCF!A17</f>
        <v>6</v>
      </c>
      <c r="B9" s="451">
        <f>DCF!W17</f>
        <v>-496125.23520898307</v>
      </c>
      <c r="C9" s="450"/>
      <c r="D9" s="450"/>
      <c r="E9" s="450"/>
    </row>
    <row r="10" spans="1:5" x14ac:dyDescent="0.25">
      <c r="A10" s="450">
        <f>DCF!A18</f>
        <v>7</v>
      </c>
      <c r="B10" s="451">
        <f>DCF!W18</f>
        <v>-433111.00557529571</v>
      </c>
      <c r="C10" s="450"/>
      <c r="D10" s="450"/>
      <c r="E10" s="450"/>
    </row>
    <row r="11" spans="1:5" x14ac:dyDescent="0.25">
      <c r="A11" s="450">
        <f>DCF!A19</f>
        <v>8</v>
      </c>
      <c r="B11" s="451">
        <f>DCF!W19</f>
        <v>-339382.97389181412</v>
      </c>
      <c r="C11" s="450"/>
      <c r="D11" s="450"/>
      <c r="E11" s="450"/>
    </row>
    <row r="12" spans="1:5" x14ac:dyDescent="0.25">
      <c r="A12" s="450">
        <f>DCF!A20</f>
        <v>9</v>
      </c>
      <c r="B12" s="451">
        <f>DCF!W20</f>
        <v>-257727.47762584197</v>
      </c>
      <c r="C12" s="450"/>
      <c r="D12" s="450"/>
      <c r="E12" s="450"/>
    </row>
    <row r="13" spans="1:5" x14ac:dyDescent="0.25">
      <c r="A13" s="450">
        <f>DCF!A21</f>
        <v>10</v>
      </c>
      <c r="B13" s="451">
        <f>DCF!W21</f>
        <v>-182172.06155696636</v>
      </c>
      <c r="C13" s="450"/>
      <c r="D13" s="450"/>
      <c r="E13" s="450"/>
    </row>
    <row r="14" spans="1:5" x14ac:dyDescent="0.25">
      <c r="A14" s="450">
        <f>DCF!A22</f>
        <v>11</v>
      </c>
      <c r="B14" s="451">
        <f>DCF!W22</f>
        <v>-109498.96057265512</v>
      </c>
      <c r="C14" s="450"/>
      <c r="D14" s="450"/>
      <c r="E14" s="450"/>
    </row>
    <row r="15" spans="1:5" x14ac:dyDescent="0.25">
      <c r="A15" s="450">
        <f>DCF!A23</f>
        <v>12</v>
      </c>
      <c r="B15" s="451">
        <f>DCF!W23</f>
        <v>-41237.61296031902</v>
      </c>
      <c r="C15" s="450"/>
      <c r="D15" s="450"/>
      <c r="E15" s="450"/>
    </row>
    <row r="16" spans="1:5" x14ac:dyDescent="0.25">
      <c r="A16" s="450">
        <f>DCF!A24</f>
        <v>13</v>
      </c>
      <c r="B16" s="451">
        <f>DCF!W24</f>
        <v>22972.349178270881</v>
      </c>
      <c r="C16" s="450"/>
      <c r="D16" s="450"/>
      <c r="E16" s="450"/>
    </row>
    <row r="17" spans="1:5" x14ac:dyDescent="0.25">
      <c r="A17" s="450">
        <f>DCF!A25</f>
        <v>14</v>
      </c>
      <c r="B17" s="451">
        <f>DCF!W25</f>
        <v>83990.086122452354</v>
      </c>
      <c r="C17" s="450"/>
      <c r="D17" s="450"/>
      <c r="E17" s="450"/>
    </row>
    <row r="18" spans="1:5" x14ac:dyDescent="0.25">
      <c r="A18" s="450">
        <f>DCF!A26</f>
        <v>15</v>
      </c>
      <c r="B18" s="451">
        <f>DCF!W26</f>
        <v>102602.29548031933</v>
      </c>
      <c r="C18" s="450"/>
      <c r="D18" s="450"/>
      <c r="E18" s="450"/>
    </row>
    <row r="19" spans="1:5" x14ac:dyDescent="0.25">
      <c r="A19" s="450">
        <f>DCF!A27</f>
        <v>16</v>
      </c>
      <c r="B19" s="451">
        <f>DCF!W27</f>
        <v>156278.03008442576</v>
      </c>
      <c r="C19" s="450"/>
      <c r="D19" s="450"/>
      <c r="E19" s="450"/>
    </row>
    <row r="20" spans="1:5" x14ac:dyDescent="0.25">
      <c r="A20" s="450">
        <f>DCF!A28</f>
        <v>17</v>
      </c>
      <c r="B20" s="451">
        <f>DCF!W28</f>
        <v>199488.22718805872</v>
      </c>
      <c r="C20" s="450"/>
      <c r="D20" s="450"/>
      <c r="E20" s="450"/>
    </row>
    <row r="21" spans="1:5" x14ac:dyDescent="0.25">
      <c r="A21" s="450">
        <f>DCF!A29</f>
        <v>18</v>
      </c>
      <c r="B21" s="451">
        <f>DCF!W29</f>
        <v>243090.34878642508</v>
      </c>
      <c r="C21" s="450"/>
      <c r="D21" s="450"/>
      <c r="E21" s="450"/>
    </row>
    <row r="22" spans="1:5" x14ac:dyDescent="0.25">
      <c r="A22" s="450">
        <f>DCF!A30</f>
        <v>19</v>
      </c>
      <c r="B22" s="451">
        <f>DCF!W30</f>
        <v>288355.83839725656</v>
      </c>
      <c r="C22" s="450"/>
      <c r="D22" s="450"/>
      <c r="E22" s="450"/>
    </row>
    <row r="23" spans="1:5" x14ac:dyDescent="0.25">
      <c r="A23" s="450">
        <f>DCF!A31</f>
        <v>20</v>
      </c>
      <c r="B23" s="451">
        <f>DCF!W31</f>
        <v>326918.36370989948</v>
      </c>
      <c r="C23" s="450"/>
      <c r="D23" s="450"/>
      <c r="E23" s="450"/>
    </row>
    <row r="24" spans="1:5" x14ac:dyDescent="0.25">
      <c r="A24" s="450">
        <f>DCF!A32</f>
        <v>21</v>
      </c>
      <c r="B24" s="451">
        <f>DCF!W32</f>
        <v>367498.6437217638</v>
      </c>
      <c r="C24" s="450"/>
      <c r="D24" s="450"/>
      <c r="E24" s="450"/>
    </row>
    <row r="25" spans="1:5" x14ac:dyDescent="0.25">
      <c r="A25" s="450">
        <f>DCF!A33</f>
        <v>22</v>
      </c>
      <c r="B25" s="451">
        <f>DCF!W33</f>
        <v>405504.42165491625</v>
      </c>
      <c r="C25" s="450"/>
      <c r="D25" s="450"/>
      <c r="E25" s="450"/>
    </row>
    <row r="26" spans="1:5" x14ac:dyDescent="0.25">
      <c r="A26" s="450">
        <f>DCF!A34</f>
        <v>23</v>
      </c>
      <c r="B26" s="451">
        <f>DCF!W34</f>
        <v>441620.72640025651</v>
      </c>
      <c r="C26" s="450"/>
      <c r="D26" s="450"/>
      <c r="E26" s="450"/>
    </row>
    <row r="27" spans="1:5" x14ac:dyDescent="0.25">
      <c r="A27" s="450">
        <f>DCF!A35</f>
        <v>24</v>
      </c>
      <c r="B27" s="451">
        <f>DCF!W35</f>
        <v>475544.52488006756</v>
      </c>
      <c r="C27" s="450"/>
      <c r="D27" s="450"/>
      <c r="E27" s="450"/>
    </row>
    <row r="28" spans="1:5" x14ac:dyDescent="0.25">
      <c r="A28" s="450">
        <f>DCF!A36</f>
        <v>25</v>
      </c>
      <c r="B28" s="451">
        <f>DCF!W36</f>
        <v>507454.90889938589</v>
      </c>
      <c r="C28" s="450"/>
      <c r="D28" s="450"/>
      <c r="E28" s="450"/>
    </row>
    <row r="29" spans="1:5" x14ac:dyDescent="0.25">
      <c r="A29" s="450">
        <f>DCF!A37</f>
        <v>26</v>
      </c>
      <c r="B29" s="451">
        <f>DCF!W37</f>
        <v>537778.85479544464</v>
      </c>
      <c r="C29" s="450"/>
      <c r="D29" s="450"/>
      <c r="E29" s="450"/>
    </row>
    <row r="30" spans="1:5" x14ac:dyDescent="0.25">
      <c r="A30" s="450">
        <f>DCF!A38</f>
        <v>27</v>
      </c>
      <c r="B30" s="451">
        <f>DCF!W38</f>
        <v>566386.35092380189</v>
      </c>
      <c r="C30" s="450"/>
      <c r="D30" s="450"/>
      <c r="E30" s="450"/>
    </row>
    <row r="31" spans="1:5" x14ac:dyDescent="0.25">
      <c r="A31" s="450">
        <f>DCF!A39</f>
        <v>28</v>
      </c>
      <c r="B31" s="451">
        <f>DCF!W39</f>
        <v>593061.54658953263</v>
      </c>
      <c r="C31" s="450"/>
      <c r="D31" s="450"/>
      <c r="E31" s="450"/>
    </row>
    <row r="32" spans="1:5" x14ac:dyDescent="0.25">
      <c r="A32" s="450">
        <f>DCF!A40</f>
        <v>29</v>
      </c>
      <c r="B32" s="451">
        <f>DCF!W40</f>
        <v>618522.11630149174</v>
      </c>
      <c r="C32" s="450"/>
      <c r="D32" s="450"/>
      <c r="E32" s="450"/>
    </row>
    <row r="33" spans="1:19" x14ac:dyDescent="0.25">
      <c r="A33" s="450">
        <f>DCF!A41</f>
        <v>30</v>
      </c>
      <c r="B33" s="451">
        <f>DCF!W41</f>
        <v>654375.78728812817</v>
      </c>
      <c r="C33" s="450"/>
      <c r="D33" s="452"/>
      <c r="E33" s="452"/>
      <c r="F33" s="414"/>
      <c r="G33" s="414"/>
      <c r="H33" s="414"/>
      <c r="I33" s="414"/>
      <c r="J33" s="414"/>
      <c r="K33" s="414"/>
      <c r="L33" s="414"/>
      <c r="M33" s="414"/>
      <c r="N33" s="414"/>
      <c r="O33" s="414"/>
      <c r="P33" s="414"/>
      <c r="Q33" s="414"/>
      <c r="R33" s="414"/>
    </row>
    <row r="34" spans="1:19" x14ac:dyDescent="0.25">
      <c r="B34" s="453"/>
      <c r="D34" s="414"/>
      <c r="E34" s="414"/>
      <c r="F34" s="414"/>
      <c r="G34" s="414"/>
      <c r="H34" s="414"/>
      <c r="I34" s="414"/>
      <c r="J34" s="414"/>
      <c r="K34" s="414"/>
      <c r="L34" s="414"/>
      <c r="M34" s="414"/>
      <c r="N34" s="414"/>
      <c r="O34" s="414"/>
      <c r="P34" s="414"/>
      <c r="Q34" s="414"/>
      <c r="R34" s="414"/>
    </row>
    <row r="35" spans="1:19" ht="17.25" customHeight="1" x14ac:dyDescent="0.4">
      <c r="A35" s="454"/>
      <c r="B35" s="450"/>
      <c r="C35" s="450"/>
      <c r="D35" s="452"/>
      <c r="E35" s="452"/>
      <c r="F35" s="452"/>
      <c r="G35" s="452"/>
      <c r="H35" s="452"/>
      <c r="I35" s="452"/>
      <c r="J35" s="452"/>
      <c r="K35" s="452"/>
      <c r="L35" s="452"/>
      <c r="M35" s="452"/>
      <c r="N35" s="452"/>
      <c r="O35" s="452"/>
      <c r="P35" s="452"/>
      <c r="Q35" s="452"/>
      <c r="R35" s="452"/>
      <c r="S35" s="450"/>
    </row>
    <row r="36" spans="1:19" ht="15" customHeight="1" x14ac:dyDescent="0.25">
      <c r="A36" s="450"/>
      <c r="B36" s="450"/>
      <c r="C36" s="452"/>
      <c r="D36" s="452"/>
      <c r="E36" s="452"/>
      <c r="F36" s="452"/>
      <c r="G36" s="452"/>
      <c r="H36" s="452"/>
      <c r="I36" s="452"/>
      <c r="J36" s="452"/>
      <c r="K36" s="452"/>
      <c r="L36" s="452"/>
      <c r="M36" s="452"/>
      <c r="N36" s="452"/>
      <c r="O36" s="452"/>
      <c r="P36" s="452"/>
      <c r="Q36" s="452"/>
      <c r="R36" s="452"/>
      <c r="S36" s="450"/>
    </row>
    <row r="37" spans="1:19" x14ac:dyDescent="0.25">
      <c r="A37" s="450"/>
      <c r="B37" s="450" t="str">
        <f>DCF!E10</f>
        <v>Machinery Ops</v>
      </c>
      <c r="C37" s="452" t="str">
        <f>DCF!F10</f>
        <v>Casual Labour</v>
      </c>
      <c r="D37" s="452" t="str">
        <f>DCF!G10</f>
        <v>Fertiliser</v>
      </c>
      <c r="E37" s="452" t="str">
        <f>DCF!H10</f>
        <v>Herbicide</v>
      </c>
      <c r="F37" s="452" t="str">
        <f>DCF!I10</f>
        <v>Insecticide</v>
      </c>
      <c r="G37" s="452" t="str">
        <f>DCF!J10</f>
        <v>Fungicide</v>
      </c>
      <c r="H37" s="452" t="str">
        <f>DCF!K10</f>
        <v>Irrigation</v>
      </c>
      <c r="I37" s="452" t="str">
        <f>DCF!L10</f>
        <v>Unspecified Casual Labour</v>
      </c>
      <c r="J37" s="452" t="str">
        <f>DCF!M10</f>
        <v>Harvesting and Marketing</v>
      </c>
      <c r="K37" s="452" t="str">
        <f>DCF!N10</f>
        <v>Repair and Maint</v>
      </c>
      <c r="L37" s="452" t="str">
        <f>DCF!O10</f>
        <v>Fuel and Oil</v>
      </c>
      <c r="M37" s="452" t="str">
        <f>DCF!P10</f>
        <v>Electricity</v>
      </c>
      <c r="N37" s="452" t="str">
        <f>DCF!Q10</f>
        <v>Administration</v>
      </c>
      <c r="O37" s="452" t="str">
        <f>DCF!R10</f>
        <v>Family Labour</v>
      </c>
      <c r="P37" s="452" t="str">
        <f>DCF!S10</f>
        <v>Capital</v>
      </c>
      <c r="Q37" s="452"/>
      <c r="R37" s="452"/>
      <c r="S37" s="450"/>
    </row>
    <row r="38" spans="1:19" x14ac:dyDescent="0.25">
      <c r="A38" s="450" t="s">
        <v>223</v>
      </c>
      <c r="B38" s="455">
        <f>DCF!E44</f>
        <v>2.3520378410466725E-2</v>
      </c>
      <c r="C38" s="456">
        <f>DCF!F44</f>
        <v>0.46178571696730364</v>
      </c>
      <c r="D38" s="456">
        <f>DCF!G44</f>
        <v>0.78428977132191258</v>
      </c>
      <c r="E38" s="456">
        <f>DCF!H44</f>
        <v>3.7610265355432326E-2</v>
      </c>
      <c r="F38" s="456">
        <f>DCF!I44</f>
        <v>0.12667559370476869</v>
      </c>
      <c r="G38" s="456">
        <f>DCF!J44</f>
        <v>0.13290491666079837</v>
      </c>
      <c r="H38" s="456">
        <f>DCF!K44</f>
        <v>0.13785011276740861</v>
      </c>
      <c r="I38" s="456">
        <f>DCF!L44</f>
        <v>0</v>
      </c>
      <c r="J38" s="456">
        <f>DCF!M44</f>
        <v>6.3694312516934088</v>
      </c>
      <c r="K38" s="456">
        <f>DCF!N44</f>
        <v>9.769213254400122E-2</v>
      </c>
      <c r="L38" s="456">
        <f>DCF!O44</f>
        <v>6.1057582840000728E-2</v>
      </c>
      <c r="M38" s="456">
        <f>DCF!P44</f>
        <v>7.3269099408000901E-2</v>
      </c>
      <c r="N38" s="456">
        <f>DCF!Q44</f>
        <v>0.40542235005760502</v>
      </c>
      <c r="O38" s="456">
        <f>DCF!R44</f>
        <v>1.2655093261154096</v>
      </c>
      <c r="P38" s="456">
        <f>DCF!S44</f>
        <v>1.9958547197112686</v>
      </c>
      <c r="Q38" s="452"/>
      <c r="R38" s="452"/>
      <c r="S38" s="450"/>
    </row>
    <row r="39" spans="1:19" x14ac:dyDescent="0.25">
      <c r="A39" s="450"/>
      <c r="B39" s="455" t="s">
        <v>224</v>
      </c>
      <c r="C39" s="456" t="s">
        <v>225</v>
      </c>
      <c r="D39" s="456" t="s">
        <v>46</v>
      </c>
      <c r="E39" s="456" t="s">
        <v>226</v>
      </c>
      <c r="F39" s="456" t="s">
        <v>203</v>
      </c>
      <c r="G39" s="456" t="s">
        <v>227</v>
      </c>
      <c r="H39" s="456" t="s">
        <v>228</v>
      </c>
      <c r="I39" s="456" t="s">
        <v>128</v>
      </c>
      <c r="J39" s="456" t="s">
        <v>229</v>
      </c>
      <c r="K39" s="456" t="s">
        <v>230</v>
      </c>
      <c r="L39" s="456"/>
      <c r="M39" s="456"/>
      <c r="N39" s="456"/>
      <c r="O39" s="456"/>
      <c r="P39" s="456"/>
      <c r="Q39" s="452"/>
      <c r="R39" s="452"/>
      <c r="S39" s="450"/>
    </row>
    <row r="40" spans="1:19" x14ac:dyDescent="0.25">
      <c r="A40" s="450"/>
      <c r="B40" s="455">
        <f>B38+L38</f>
        <v>8.4577961250467459E-2</v>
      </c>
      <c r="C40" s="455">
        <f>C38</f>
        <v>0.46178571696730364</v>
      </c>
      <c r="D40" s="455">
        <f>D38</f>
        <v>0.78428977132191258</v>
      </c>
      <c r="E40" s="455">
        <f>E38+F38+G38</f>
        <v>0.29719077572099939</v>
      </c>
      <c r="F40" s="455">
        <f>H38</f>
        <v>0.13785011276740861</v>
      </c>
      <c r="G40" s="455">
        <f>J38</f>
        <v>6.3694312516934088</v>
      </c>
      <c r="H40" s="455">
        <f>K38</f>
        <v>9.769213254400122E-2</v>
      </c>
      <c r="I40" s="455">
        <f>M38+N38</f>
        <v>0.47869144946560593</v>
      </c>
      <c r="J40" s="455">
        <f>O38</f>
        <v>1.2655093261154096</v>
      </c>
      <c r="K40" s="455">
        <f>P38</f>
        <v>1.9958547197112686</v>
      </c>
      <c r="L40" s="455"/>
      <c r="M40" s="455"/>
      <c r="N40" s="455"/>
      <c r="O40" s="455"/>
      <c r="P40" s="455"/>
      <c r="Q40" s="450"/>
      <c r="R40" s="450"/>
      <c r="S40" s="450"/>
    </row>
    <row r="41" spans="1:19" x14ac:dyDescent="0.25">
      <c r="A41" s="450"/>
      <c r="B41" s="450" t="s">
        <v>231</v>
      </c>
      <c r="C41" s="450" t="s">
        <v>225</v>
      </c>
      <c r="D41" s="450" t="s">
        <v>46</v>
      </c>
      <c r="E41" s="450" t="s">
        <v>63</v>
      </c>
      <c r="F41" s="450" t="s">
        <v>66</v>
      </c>
      <c r="G41" s="450" t="s">
        <v>72</v>
      </c>
      <c r="H41" s="450" t="s">
        <v>203</v>
      </c>
      <c r="I41" s="450" t="s">
        <v>232</v>
      </c>
      <c r="J41" s="450" t="s">
        <v>227</v>
      </c>
      <c r="K41" s="450" t="s">
        <v>228</v>
      </c>
      <c r="L41" s="450" t="s">
        <v>224</v>
      </c>
      <c r="M41" s="450" t="s">
        <v>127</v>
      </c>
      <c r="N41" s="450" t="s">
        <v>233</v>
      </c>
      <c r="O41" s="450" t="s">
        <v>234</v>
      </c>
      <c r="P41" s="450" t="s">
        <v>235</v>
      </c>
      <c r="Q41" s="450"/>
      <c r="R41" s="450"/>
      <c r="S41" s="450"/>
    </row>
    <row r="42" spans="1:19" x14ac:dyDescent="0.25">
      <c r="A42" s="450" t="s">
        <v>219</v>
      </c>
      <c r="B42" s="455">
        <f>DCF!E45</f>
        <v>0.24076021065332945</v>
      </c>
      <c r="C42" s="455">
        <f>DCF!F45</f>
        <v>4.7269488846434173</v>
      </c>
      <c r="D42" s="455">
        <f>DCF!G45</f>
        <v>8.0281774069028806</v>
      </c>
      <c r="E42" s="455">
        <f>DCF!H45</f>
        <v>0.38498765843290789</v>
      </c>
      <c r="F42" s="455">
        <f>DCF!I45</f>
        <v>1.2966816304036874</v>
      </c>
      <c r="G42" s="455">
        <f>DCF!J45</f>
        <v>1.3604464678968595</v>
      </c>
      <c r="H42" s="455">
        <f>DCF!K45</f>
        <v>1.4110666762783572</v>
      </c>
      <c r="I42" s="455">
        <f>DCF!L45</f>
        <v>0</v>
      </c>
      <c r="J42" s="455">
        <f>DCF!M45</f>
        <v>65.199019468886803</v>
      </c>
      <c r="K42" s="455">
        <f>DCF!N45</f>
        <v>0.99999999999999956</v>
      </c>
      <c r="L42" s="455">
        <f>DCF!O45</f>
        <v>0.62499999999999933</v>
      </c>
      <c r="M42" s="455">
        <f>DCF!P45</f>
        <v>0.74999999999999944</v>
      </c>
      <c r="N42" s="455">
        <f>DCF!Q45</f>
        <v>4.1499999999999977</v>
      </c>
      <c r="O42" s="455">
        <f>DCF!R45</f>
        <v>12.954055696812787</v>
      </c>
      <c r="P42" s="455">
        <f>DCF!S45</f>
        <v>20.430045570070043</v>
      </c>
      <c r="Q42" s="450"/>
      <c r="R42" s="450"/>
      <c r="S42" s="450"/>
    </row>
    <row r="43" spans="1:19" x14ac:dyDescent="0.25">
      <c r="A43" s="450"/>
      <c r="B43" s="455" t="s">
        <v>224</v>
      </c>
      <c r="C43" s="455" t="s">
        <v>236</v>
      </c>
      <c r="D43" s="455" t="s">
        <v>46</v>
      </c>
      <c r="E43" s="455" t="s">
        <v>226</v>
      </c>
      <c r="F43" s="455" t="s">
        <v>203</v>
      </c>
      <c r="G43" s="455" t="s">
        <v>227</v>
      </c>
      <c r="H43" s="455" t="s">
        <v>228</v>
      </c>
      <c r="I43" s="455" t="s">
        <v>128</v>
      </c>
      <c r="J43" s="455" t="s">
        <v>229</v>
      </c>
      <c r="K43" s="455" t="s">
        <v>230</v>
      </c>
      <c r="L43" s="455"/>
      <c r="M43" s="455"/>
      <c r="N43" s="455"/>
      <c r="O43" s="455"/>
      <c r="P43" s="455"/>
      <c r="Q43" s="450"/>
      <c r="R43" s="450"/>
      <c r="S43" s="450"/>
    </row>
    <row r="44" spans="1:19" x14ac:dyDescent="0.25">
      <c r="A44" s="450"/>
      <c r="B44" s="455">
        <f>B42+L42</f>
        <v>0.86576021065332875</v>
      </c>
      <c r="C44" s="455">
        <f>C42</f>
        <v>4.7269488846434173</v>
      </c>
      <c r="D44" s="455">
        <f>D42</f>
        <v>8.0281774069028806</v>
      </c>
      <c r="E44" s="455">
        <f>E42+F42+G42</f>
        <v>3.0421157567334549</v>
      </c>
      <c r="F44" s="455">
        <f>H42</f>
        <v>1.4110666762783572</v>
      </c>
      <c r="G44" s="455">
        <f>J42</f>
        <v>65.199019468886803</v>
      </c>
      <c r="H44" s="455">
        <f>K42</f>
        <v>0.99999999999999956</v>
      </c>
      <c r="I44" s="455">
        <f>M42+N42</f>
        <v>4.8999999999999968</v>
      </c>
      <c r="J44" s="455">
        <f>O42</f>
        <v>12.954055696812787</v>
      </c>
      <c r="K44" s="455">
        <f>P42</f>
        <v>20.430045570070043</v>
      </c>
      <c r="L44" s="455"/>
      <c r="M44" s="455"/>
      <c r="N44" s="455"/>
      <c r="O44" s="455"/>
      <c r="P44" s="455"/>
      <c r="Q44" s="450"/>
      <c r="R44" s="450"/>
      <c r="S44" s="450"/>
    </row>
  </sheetData>
  <sheetProtection password="8D83" sheet="1" objects="1" scenarios="1"/>
  <phoneticPr fontId="8" type="noConversion"/>
  <printOptions gridLinesSet="0"/>
  <pageMargins left="0.75" right="0.75" top="1" bottom="1" header="0.5" footer="0.5"/>
  <headerFooter alignWithMargins="0">
    <oddHeader>&amp;A</oddHeader>
    <oddFooter>Page &amp;P</oddFooter>
  </headerFooter>
  <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36"/>
  <sheetViews>
    <sheetView showGridLines="0" showRowColHeaders="0" zoomScale="75" workbookViewId="0">
      <selection activeCell="Y29" sqref="Y29"/>
    </sheetView>
  </sheetViews>
  <sheetFormatPr defaultColWidth="10.33203125" defaultRowHeight="15.6" x14ac:dyDescent="0.3"/>
  <cols>
    <col min="1" max="1" width="31.44140625" style="29" customWidth="1"/>
    <col min="2" max="3" width="18.6640625" style="317" customWidth="1"/>
    <col min="4" max="4" width="18.6640625" style="457" customWidth="1"/>
    <col min="5" max="16384" width="10.33203125" style="29"/>
  </cols>
  <sheetData>
    <row r="1" spans="1:4" ht="24.6" x14ac:dyDescent="0.4">
      <c r="A1" s="311" t="s">
        <v>237</v>
      </c>
    </row>
    <row r="3" spans="1:4" s="40" customFormat="1" x14ac:dyDescent="0.3">
      <c r="A3" s="458"/>
      <c r="B3" s="321" t="s">
        <v>238</v>
      </c>
      <c r="C3" s="321" t="s">
        <v>239</v>
      </c>
      <c r="D3" s="459" t="s">
        <v>240</v>
      </c>
    </row>
    <row r="4" spans="1:4" x14ac:dyDescent="0.3">
      <c r="A4" s="460" t="s">
        <v>33</v>
      </c>
      <c r="B4" s="461">
        <f>DCF!C44</f>
        <v>14.295000000000002</v>
      </c>
      <c r="C4" s="461">
        <f>DCF!C45</f>
        <v>146.32703399694367</v>
      </c>
      <c r="D4" s="462">
        <f>DCF!C43</f>
        <v>292654.06799388735</v>
      </c>
    </row>
    <row r="5" spans="1:4" x14ac:dyDescent="0.3">
      <c r="B5" s="463"/>
      <c r="C5" s="463"/>
      <c r="D5" s="464"/>
    </row>
    <row r="6" spans="1:4" x14ac:dyDescent="0.3">
      <c r="A6" s="460" t="s">
        <v>241</v>
      </c>
      <c r="B6" s="325"/>
      <c r="C6" s="325"/>
      <c r="D6" s="462"/>
    </row>
    <row r="7" spans="1:4" x14ac:dyDescent="0.3">
      <c r="A7" s="292" t="str">
        <f>DCF!E10</f>
        <v>Machinery Ops</v>
      </c>
      <c r="B7" s="465">
        <f>DCF!E44</f>
        <v>2.3520378410466725E-2</v>
      </c>
      <c r="C7" s="465">
        <f>DCF!E$45</f>
        <v>0.24076021065332945</v>
      </c>
      <c r="D7" s="466">
        <f>DCF!E$43</f>
        <v>481.52042130665887</v>
      </c>
    </row>
    <row r="8" spans="1:4" x14ac:dyDescent="0.3">
      <c r="A8" s="467" t="str">
        <f>DCF!F10</f>
        <v>Casual Labour</v>
      </c>
      <c r="B8" s="468">
        <f>DCF!F44</f>
        <v>0.46178571696730364</v>
      </c>
      <c r="C8" s="468">
        <f>DCF!F$45</f>
        <v>4.7269488846434173</v>
      </c>
      <c r="D8" s="469">
        <f>DCF!F$43</f>
        <v>9453.8977692868339</v>
      </c>
    </row>
    <row r="9" spans="1:4" x14ac:dyDescent="0.3">
      <c r="A9" s="467" t="str">
        <f>DCF!G10</f>
        <v>Fertiliser</v>
      </c>
      <c r="B9" s="468">
        <f>DCF!G44</f>
        <v>0.78428977132191258</v>
      </c>
      <c r="C9" s="468">
        <f>DCF!G$45</f>
        <v>8.0281774069028806</v>
      </c>
      <c r="D9" s="469">
        <f>DCF!G$43</f>
        <v>16056.354813805759</v>
      </c>
    </row>
    <row r="10" spans="1:4" x14ac:dyDescent="0.3">
      <c r="A10" s="467" t="str">
        <f>DCF!H10</f>
        <v>Herbicide</v>
      </c>
      <c r="B10" s="468">
        <f>DCF!H44</f>
        <v>3.7610265355432326E-2</v>
      </c>
      <c r="C10" s="468">
        <f>DCF!H$45</f>
        <v>0.38498765843290789</v>
      </c>
      <c r="D10" s="469">
        <f>DCF!H$43</f>
        <v>769.97531686581578</v>
      </c>
    </row>
    <row r="11" spans="1:4" x14ac:dyDescent="0.3">
      <c r="A11" s="467" t="str">
        <f>DCF!I10</f>
        <v>Insecticide</v>
      </c>
      <c r="B11" s="468">
        <f>DCF!I44</f>
        <v>0.12667559370476869</v>
      </c>
      <c r="C11" s="468">
        <f>DCF!I$45</f>
        <v>1.2966816304036874</v>
      </c>
      <c r="D11" s="469">
        <f>DCF!I$43</f>
        <v>2593.3632608073749</v>
      </c>
    </row>
    <row r="12" spans="1:4" x14ac:dyDescent="0.3">
      <c r="A12" s="467" t="str">
        <f>DCF!J10</f>
        <v>Fungicide</v>
      </c>
      <c r="B12" s="468">
        <f>DCF!J44</f>
        <v>0.13290491666079837</v>
      </c>
      <c r="C12" s="468">
        <f>DCF!J$45</f>
        <v>1.3604464678968595</v>
      </c>
      <c r="D12" s="469">
        <f>DCF!J$43</f>
        <v>2720.8929357937191</v>
      </c>
    </row>
    <row r="13" spans="1:4" x14ac:dyDescent="0.3">
      <c r="A13" s="467" t="str">
        <f>DCF!K10</f>
        <v>Irrigation</v>
      </c>
      <c r="B13" s="468">
        <f>DCF!K44</f>
        <v>0.13785011276740861</v>
      </c>
      <c r="C13" s="468">
        <f>DCF!K$45</f>
        <v>1.4110666762783572</v>
      </c>
      <c r="D13" s="469">
        <f>DCF!K$43</f>
        <v>2822.1333525567147</v>
      </c>
    </row>
    <row r="14" spans="1:4" x14ac:dyDescent="0.3">
      <c r="A14" s="467" t="str">
        <f>DCF!L10</f>
        <v>Unspecified Casual Labour</v>
      </c>
      <c r="B14" s="468">
        <f>DCF!L44</f>
        <v>0</v>
      </c>
      <c r="C14" s="468">
        <f>DCF!L$45</f>
        <v>0</v>
      </c>
      <c r="D14" s="469">
        <f>DCF!L$43</f>
        <v>0</v>
      </c>
    </row>
    <row r="15" spans="1:4" x14ac:dyDescent="0.3">
      <c r="A15" s="467" t="str">
        <f>DCF!M10</f>
        <v>Harvesting and Marketing</v>
      </c>
      <c r="B15" s="468">
        <f>DCF!M44</f>
        <v>6.3694312516934088</v>
      </c>
      <c r="C15" s="468">
        <f>DCF!M$45</f>
        <v>65.199019468886803</v>
      </c>
      <c r="D15" s="469">
        <f>DCF!M$43</f>
        <v>130398.03893777361</v>
      </c>
    </row>
    <row r="16" spans="1:4" x14ac:dyDescent="0.3">
      <c r="A16" s="460" t="s">
        <v>242</v>
      </c>
      <c r="B16" s="461">
        <f>SUM(B7:B15)</f>
        <v>8.0740680068815003</v>
      </c>
      <c r="C16" s="461">
        <f>SUM(C7:C15)</f>
        <v>82.648088404098246</v>
      </c>
      <c r="D16" s="470">
        <f>SUM(D7:D15)</f>
        <v>165296.1768081965</v>
      </c>
    </row>
    <row r="17" spans="1:4" x14ac:dyDescent="0.3">
      <c r="A17" s="471"/>
      <c r="B17" s="472"/>
      <c r="C17" s="472"/>
      <c r="D17" s="473"/>
    </row>
    <row r="18" spans="1:4" x14ac:dyDescent="0.3">
      <c r="A18" s="460" t="s">
        <v>123</v>
      </c>
      <c r="B18" s="461"/>
      <c r="C18" s="461"/>
      <c r="D18" s="470"/>
    </row>
    <row r="19" spans="1:4" x14ac:dyDescent="0.3">
      <c r="A19" s="467" t="str">
        <f>DCF!N10</f>
        <v>Repair and Maint</v>
      </c>
      <c r="B19" s="468">
        <f>DCF!N44</f>
        <v>9.769213254400122E-2</v>
      </c>
      <c r="C19" s="468">
        <f>DCF!N$45</f>
        <v>0.99999999999999956</v>
      </c>
      <c r="D19" s="469">
        <f>DCF!N$43</f>
        <v>1999.9999999999989</v>
      </c>
    </row>
    <row r="20" spans="1:4" x14ac:dyDescent="0.3">
      <c r="A20" s="467" t="str">
        <f>DCF!O10</f>
        <v>Fuel and Oil</v>
      </c>
      <c r="B20" s="468">
        <f>DCF!O44</f>
        <v>6.1057582840000728E-2</v>
      </c>
      <c r="C20" s="468">
        <f>DCF!O$45</f>
        <v>0.62499999999999933</v>
      </c>
      <c r="D20" s="469">
        <f>DCF!O$43</f>
        <v>1249.9999999999986</v>
      </c>
    </row>
    <row r="21" spans="1:4" x14ac:dyDescent="0.3">
      <c r="A21" s="467" t="str">
        <f>DCF!P10</f>
        <v>Electricity</v>
      </c>
      <c r="B21" s="468">
        <f>DCF!P44</f>
        <v>7.3269099408000901E-2</v>
      </c>
      <c r="C21" s="468">
        <f>DCF!P$45</f>
        <v>0.74999999999999944</v>
      </c>
      <c r="D21" s="469">
        <f>DCF!P$43</f>
        <v>1499.9999999999989</v>
      </c>
    </row>
    <row r="22" spans="1:4" x14ac:dyDescent="0.3">
      <c r="A22" s="467" t="str">
        <f>DCF!Q10</f>
        <v>Administration</v>
      </c>
      <c r="B22" s="468">
        <f>DCF!Q44</f>
        <v>0.40542235005760502</v>
      </c>
      <c r="C22" s="468">
        <f>DCF!Q$45</f>
        <v>4.1499999999999977</v>
      </c>
      <c r="D22" s="469">
        <f>DCF!Q$43</f>
        <v>8299.9999999999945</v>
      </c>
    </row>
    <row r="23" spans="1:4" x14ac:dyDescent="0.3">
      <c r="A23" s="467" t="str">
        <f>DCF!R10</f>
        <v>Family Labour</v>
      </c>
      <c r="B23" s="468">
        <f>DCF!R44</f>
        <v>1.2655093261154096</v>
      </c>
      <c r="C23" s="468">
        <f>DCF!R$45</f>
        <v>12.954055696812787</v>
      </c>
      <c r="D23" s="469">
        <f>DCF!R$43</f>
        <v>25908.111393625575</v>
      </c>
    </row>
    <row r="24" spans="1:4" x14ac:dyDescent="0.3">
      <c r="A24" s="474" t="str">
        <f>DCF!S10</f>
        <v>Capital</v>
      </c>
      <c r="B24" s="475">
        <f>DCF!S44</f>
        <v>1.9958547197112686</v>
      </c>
      <c r="C24" s="475">
        <f>DCF!S$45</f>
        <v>20.430045570070043</v>
      </c>
      <c r="D24" s="476">
        <f>DCF!S$43</f>
        <v>40860.091140140088</v>
      </c>
    </row>
    <row r="25" spans="1:4" x14ac:dyDescent="0.3">
      <c r="A25" s="460" t="s">
        <v>243</v>
      </c>
      <c r="B25" s="461">
        <f>SUM(B19:B24)</f>
        <v>3.898805210676286</v>
      </c>
      <c r="C25" s="461">
        <f>SUM(C19:C24)</f>
        <v>39.909101266882828</v>
      </c>
      <c r="D25" s="477">
        <f>SUM(D19:D24)</f>
        <v>79818.202533765652</v>
      </c>
    </row>
    <row r="26" spans="1:4" x14ac:dyDescent="0.3">
      <c r="B26" s="463"/>
      <c r="C26" s="463"/>
      <c r="D26" s="463"/>
    </row>
    <row r="27" spans="1:4" x14ac:dyDescent="0.3">
      <c r="A27" s="460" t="s">
        <v>244</v>
      </c>
      <c r="B27" s="461">
        <f>B25+B16</f>
        <v>11.972873217557787</v>
      </c>
      <c r="C27" s="461">
        <f>C25+C16</f>
        <v>122.55718967098107</v>
      </c>
      <c r="D27" s="470">
        <f>D25+D16</f>
        <v>245114.37934196217</v>
      </c>
    </row>
    <row r="28" spans="1:4" x14ac:dyDescent="0.3">
      <c r="B28" s="463"/>
      <c r="C28" s="463"/>
      <c r="D28" s="478"/>
    </row>
    <row r="29" spans="1:4" x14ac:dyDescent="0.3">
      <c r="A29" s="460" t="s">
        <v>250</v>
      </c>
      <c r="B29" s="461">
        <f>B4-B27</f>
        <v>2.3221267824422149</v>
      </c>
      <c r="C29" s="461">
        <f>C4-C27</f>
        <v>23.769844325962595</v>
      </c>
      <c r="D29" s="470">
        <f>D4-D27</f>
        <v>47539.688651925186</v>
      </c>
    </row>
    <row r="30" spans="1:4" x14ac:dyDescent="0.3">
      <c r="B30" s="463"/>
      <c r="C30" s="463"/>
      <c r="D30" s="478"/>
    </row>
    <row r="31" spans="1:4" x14ac:dyDescent="0.3">
      <c r="A31" s="29" t="s">
        <v>245</v>
      </c>
      <c r="B31" s="479">
        <f>DCF!B52</f>
        <v>0.12041468902539121</v>
      </c>
      <c r="C31" s="30"/>
      <c r="D31" s="464"/>
    </row>
    <row r="32" spans="1:4" x14ac:dyDescent="0.3">
      <c r="A32" s="29" t="s">
        <v>246</v>
      </c>
      <c r="B32" s="480">
        <v>14</v>
      </c>
      <c r="C32" s="30"/>
      <c r="D32" s="464"/>
    </row>
    <row r="33" spans="1:4" x14ac:dyDescent="0.3">
      <c r="A33" s="29" t="s">
        <v>247</v>
      </c>
      <c r="B33" s="480">
        <f>MATCH(-B34,DCF!W12:W41,0)</f>
        <v>3</v>
      </c>
      <c r="C33" s="30"/>
      <c r="D33" s="481"/>
    </row>
    <row r="34" spans="1:4" x14ac:dyDescent="0.3">
      <c r="A34" s="29" t="s">
        <v>248</v>
      </c>
      <c r="B34" s="482">
        <f>-MIN(DCF!W11:W41)</f>
        <v>607729.21126994048</v>
      </c>
      <c r="C34" s="30"/>
      <c r="D34" s="481"/>
    </row>
    <row r="36" spans="1:4" x14ac:dyDescent="0.3">
      <c r="A36" s="483"/>
    </row>
  </sheetData>
  <sheetProtection password="8D83" sheet="1" objects="1" scenarios="1"/>
  <phoneticPr fontId="8" type="noConversion"/>
  <printOptions gridLinesSet="0"/>
  <pageMargins left="0.75" right="0.75" top="1" bottom="1" header="0.5" footer="0.5"/>
  <pageSetup paperSize="9" orientation="portrait" horizontalDpi="300" verticalDpi="300" r:id="rId1"/>
  <headerFooter alignWithMargins="0">
    <oddHeader>&amp;A</oddHeader>
    <oddFooter>Page &amp;P</oddFooter>
  </headerFooter>
  <drawing r:id="rId2"/>
  <legacyDrawing r:id="rId3"/>
  <oleObjects>
    <mc:AlternateContent xmlns:mc="http://schemas.openxmlformats.org/markup-compatibility/2006">
      <mc:Choice Requires="x14">
        <oleObject progId="Word.Document.8" shapeId="28673" r:id="rId4">
          <objectPr defaultSize="0" autoPict="0" r:id="rId5">
            <anchor moveWithCells="1">
              <from>
                <xdr:col>4</xdr:col>
                <xdr:colOff>190500</xdr:colOff>
                <xdr:row>3</xdr:row>
                <xdr:rowOff>0</xdr:rowOff>
              </from>
              <to>
                <xdr:col>11</xdr:col>
                <xdr:colOff>701040</xdr:colOff>
                <xdr:row>12</xdr:row>
                <xdr:rowOff>91440</xdr:rowOff>
              </to>
            </anchor>
          </objectPr>
        </oleObject>
      </mc:Choice>
      <mc:Fallback>
        <oleObject progId="Word.Document.8" shapeId="28673"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showRowColHeaders="0" zoomScale="75" workbookViewId="0">
      <selection activeCell="Y29" sqref="Y29"/>
    </sheetView>
  </sheetViews>
  <sheetFormatPr defaultRowHeight="13.2" x14ac:dyDescent="0.25"/>
  <cols>
    <col min="2" max="2" width="26.33203125" customWidth="1"/>
    <col min="3" max="5" width="24.5546875" customWidth="1"/>
  </cols>
  <sheetData>
    <row r="1" spans="1:5" ht="24.6" x14ac:dyDescent="0.4">
      <c r="A1" s="1" t="s">
        <v>6</v>
      </c>
      <c r="B1" s="2"/>
      <c r="C1" s="2"/>
      <c r="D1" s="2"/>
      <c r="E1" s="2"/>
    </row>
    <row r="2" spans="1:5" ht="15.6" x14ac:dyDescent="0.3">
      <c r="A2" s="2"/>
      <c r="B2" s="2"/>
      <c r="C2" s="2"/>
      <c r="D2" s="2"/>
      <c r="E2" s="2"/>
    </row>
    <row r="3" spans="1:5" ht="15.6" x14ac:dyDescent="0.3">
      <c r="A3" s="2"/>
      <c r="B3" s="2"/>
      <c r="C3" s="2"/>
      <c r="D3" s="2"/>
      <c r="E3" s="2"/>
    </row>
    <row r="4" spans="1:5" ht="17.399999999999999" x14ac:dyDescent="0.3">
      <c r="A4" s="7" t="s">
        <v>7</v>
      </c>
      <c r="B4" s="2"/>
      <c r="C4" s="2"/>
      <c r="D4" s="2"/>
      <c r="E4" s="2"/>
    </row>
    <row r="5" spans="1:5" ht="17.399999999999999" x14ac:dyDescent="0.3">
      <c r="A5" s="7"/>
      <c r="B5" s="2"/>
      <c r="C5" s="2"/>
      <c r="D5" s="2"/>
      <c r="E5" s="2"/>
    </row>
    <row r="6" spans="1:5" ht="15.6" x14ac:dyDescent="0.3">
      <c r="A6" s="2"/>
      <c r="B6" s="2" t="s">
        <v>8</v>
      </c>
      <c r="C6" s="2"/>
      <c r="D6" s="2"/>
      <c r="E6" s="8">
        <v>10</v>
      </c>
    </row>
    <row r="7" spans="1:5" ht="15.6" x14ac:dyDescent="0.3">
      <c r="A7" s="2"/>
      <c r="B7" s="2"/>
      <c r="C7" s="9"/>
      <c r="D7" s="2"/>
      <c r="E7" s="2"/>
    </row>
    <row r="8" spans="1:5" ht="15.6" x14ac:dyDescent="0.3">
      <c r="A8" s="2"/>
      <c r="B8" s="2" t="s">
        <v>9</v>
      </c>
      <c r="C8" s="2"/>
      <c r="D8" s="2"/>
      <c r="E8" s="8">
        <v>5.75</v>
      </c>
    </row>
    <row r="9" spans="1:5" ht="15.6" x14ac:dyDescent="0.3">
      <c r="A9" s="2"/>
      <c r="B9" s="2"/>
      <c r="C9" s="2"/>
      <c r="D9" s="2"/>
      <c r="E9" s="10"/>
    </row>
    <row r="10" spans="1:5" ht="15.6" x14ac:dyDescent="0.3">
      <c r="A10" s="11"/>
      <c r="B10" s="12" t="s">
        <v>10</v>
      </c>
      <c r="C10" s="13" t="s">
        <v>11</v>
      </c>
      <c r="D10" s="14" t="s">
        <v>12</v>
      </c>
      <c r="E10" s="15" t="s">
        <v>13</v>
      </c>
    </row>
    <row r="11" spans="1:5" ht="15.6" x14ac:dyDescent="0.3">
      <c r="A11" s="2"/>
      <c r="B11" s="16" t="s">
        <v>14</v>
      </c>
      <c r="C11" s="17">
        <f>D11/E8</f>
        <v>2.7826086956521738</v>
      </c>
      <c r="D11" s="18">
        <v>16</v>
      </c>
      <c r="E11" s="19">
        <v>0.8</v>
      </c>
    </row>
    <row r="12" spans="1:5" ht="15.6" x14ac:dyDescent="0.3">
      <c r="A12" s="2"/>
      <c r="B12" s="16" t="s">
        <v>15</v>
      </c>
      <c r="C12" s="17">
        <f>D12/E8</f>
        <v>1.9565217391304348</v>
      </c>
      <c r="D12" s="18">
        <v>11.25</v>
      </c>
      <c r="E12" s="19">
        <v>0</v>
      </c>
    </row>
    <row r="13" spans="1:5" ht="15.6" x14ac:dyDescent="0.3">
      <c r="A13" s="2"/>
      <c r="B13" s="16" t="str">
        <f>CONCATENATE("Bulk Cartons (",E6,"kg)")</f>
        <v>Bulk Cartons (10kg)</v>
      </c>
      <c r="C13" s="17">
        <f>D13/10</f>
        <v>1.3</v>
      </c>
      <c r="D13" s="20">
        <f>IF(ROUND(C11/2*E6,1)&gt;13,13,ROUND(C11/2*E6,1))</f>
        <v>13</v>
      </c>
      <c r="E13" s="19">
        <v>0.2</v>
      </c>
    </row>
    <row r="14" spans="1:5" ht="15.6" x14ac:dyDescent="0.3">
      <c r="A14" s="2"/>
      <c r="B14" s="16" t="s">
        <v>16</v>
      </c>
      <c r="C14" s="6">
        <v>0</v>
      </c>
      <c r="D14" s="20">
        <f>E8*C14</f>
        <v>0</v>
      </c>
      <c r="E14" s="19">
        <v>0</v>
      </c>
    </row>
    <row r="15" spans="1:5" ht="15.6" x14ac:dyDescent="0.3">
      <c r="A15" s="2"/>
      <c r="B15" s="2"/>
      <c r="C15" s="2"/>
      <c r="D15" s="2"/>
      <c r="E15" s="2"/>
    </row>
    <row r="16" spans="1:5" ht="15.6" x14ac:dyDescent="0.3">
      <c r="A16" s="2"/>
      <c r="B16" s="21" t="s">
        <v>17</v>
      </c>
      <c r="C16" s="22">
        <f>C11*$E$11+C12*$E$12+C13*$E$13</f>
        <v>2.4860869565217394</v>
      </c>
      <c r="D16" s="23">
        <f>C16*E8</f>
        <v>14.295000000000002</v>
      </c>
      <c r="E16" s="24">
        <f>SUM(E11:E14)</f>
        <v>1</v>
      </c>
    </row>
    <row r="17" spans="1:5" ht="15.6" x14ac:dyDescent="0.3">
      <c r="A17" s="2"/>
      <c r="B17" s="2"/>
      <c r="C17" s="2"/>
      <c r="D17" s="2"/>
      <c r="E17" s="2"/>
    </row>
    <row r="18" spans="1:5" ht="17.399999999999999" x14ac:dyDescent="0.3">
      <c r="A18" s="7" t="s">
        <v>18</v>
      </c>
      <c r="B18" s="2"/>
      <c r="C18" s="2"/>
      <c r="D18" s="2"/>
      <c r="E18" s="2"/>
    </row>
    <row r="19" spans="1:5" ht="15.6" x14ac:dyDescent="0.3">
      <c r="A19" s="2"/>
      <c r="B19" s="2"/>
      <c r="C19" s="2"/>
      <c r="D19" s="2"/>
      <c r="E19" s="2"/>
    </row>
    <row r="20" spans="1:5" ht="15.6" x14ac:dyDescent="0.3">
      <c r="A20" s="2"/>
      <c r="B20" s="13" t="s">
        <v>19</v>
      </c>
      <c r="C20" s="13" t="str">
        <f>CONCATENATE(E8,"kg  Cartons/Tree")</f>
        <v>5.75kg  Cartons/Tree</v>
      </c>
      <c r="D20" s="2"/>
      <c r="E20" s="2"/>
    </row>
    <row r="21" spans="1:5" ht="15.6" x14ac:dyDescent="0.3">
      <c r="A21" s="2"/>
      <c r="B21" s="25">
        <v>1</v>
      </c>
      <c r="C21" s="26">
        <v>0</v>
      </c>
      <c r="D21" s="2"/>
      <c r="E21" s="2"/>
    </row>
    <row r="22" spans="1:5" ht="15.6" x14ac:dyDescent="0.3">
      <c r="A22" s="2"/>
      <c r="B22" s="25">
        <v>2</v>
      </c>
      <c r="C22" s="26">
        <v>0.5</v>
      </c>
      <c r="D22" s="2"/>
      <c r="E22" s="2"/>
    </row>
    <row r="23" spans="1:5" ht="15.6" x14ac:dyDescent="0.3">
      <c r="A23" s="2"/>
      <c r="B23" s="25">
        <v>3</v>
      </c>
      <c r="C23" s="26">
        <v>2</v>
      </c>
      <c r="D23" s="2"/>
      <c r="E23" s="2"/>
    </row>
    <row r="24" spans="1:5" ht="15.6" x14ac:dyDescent="0.3">
      <c r="A24" s="2"/>
      <c r="B24" s="25">
        <v>4</v>
      </c>
      <c r="C24" s="26">
        <v>5</v>
      </c>
      <c r="D24" s="2"/>
      <c r="E24" s="2"/>
    </row>
    <row r="25" spans="1:5" ht="15.6" x14ac:dyDescent="0.3">
      <c r="A25" s="2"/>
      <c r="B25" s="25">
        <v>5</v>
      </c>
      <c r="C25" s="26">
        <v>7</v>
      </c>
      <c r="D25" s="2"/>
      <c r="E25" s="2"/>
    </row>
    <row r="26" spans="1:5" ht="15.6" x14ac:dyDescent="0.3">
      <c r="A26" s="2"/>
      <c r="B26" s="25">
        <v>6</v>
      </c>
      <c r="C26" s="27">
        <f>IF(($C$32)&lt;7,7,IF(($C$32-4)&lt;C25,C25,C32-4))</f>
        <v>10</v>
      </c>
      <c r="D26" s="2"/>
      <c r="E26" s="2"/>
    </row>
    <row r="27" spans="1:5" ht="15.6" x14ac:dyDescent="0.3">
      <c r="A27" s="2"/>
      <c r="B27" s="25">
        <v>7</v>
      </c>
      <c r="C27" s="27">
        <f>IF(($C$32)&lt;10,C26,($C$32-2))</f>
        <v>12</v>
      </c>
      <c r="D27" s="2"/>
      <c r="E27" s="2"/>
    </row>
    <row r="28" spans="1:5" ht="15.6" x14ac:dyDescent="0.3">
      <c r="A28" s="2"/>
      <c r="B28" s="25">
        <v>8</v>
      </c>
      <c r="C28" s="27">
        <f>C29</f>
        <v>14</v>
      </c>
      <c r="D28" s="2"/>
      <c r="E28" s="2"/>
    </row>
    <row r="29" spans="1:5" ht="15.6" x14ac:dyDescent="0.3">
      <c r="A29" s="2"/>
      <c r="B29" s="25">
        <v>9</v>
      </c>
      <c r="C29" s="27">
        <f>C30</f>
        <v>14</v>
      </c>
      <c r="D29" s="2"/>
      <c r="E29" s="2"/>
    </row>
    <row r="30" spans="1:5" ht="15.6" x14ac:dyDescent="0.3">
      <c r="A30" s="2"/>
      <c r="B30" s="25">
        <v>10</v>
      </c>
      <c r="C30" s="27">
        <f>C31</f>
        <v>14</v>
      </c>
      <c r="D30" s="2"/>
      <c r="E30" s="2"/>
    </row>
    <row r="31" spans="1:5" ht="15.6" x14ac:dyDescent="0.3">
      <c r="A31" s="2"/>
      <c r="B31" s="25">
        <v>11</v>
      </c>
      <c r="C31" s="27">
        <f>C32</f>
        <v>14</v>
      </c>
      <c r="D31" s="2"/>
      <c r="E31" s="2"/>
    </row>
    <row r="32" spans="1:5" ht="15.6" x14ac:dyDescent="0.3">
      <c r="A32" s="2"/>
      <c r="B32" s="25" t="s">
        <v>20</v>
      </c>
      <c r="C32" s="27">
        <v>14</v>
      </c>
      <c r="D32" s="2"/>
      <c r="E32" s="2"/>
    </row>
  </sheetData>
  <sheetProtection password="8D83" sheet="1" objects="1" scenarios="1"/>
  <phoneticPr fontId="5"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workbookViewId="0">
      <selection activeCell="Y29" sqref="Y29"/>
    </sheetView>
  </sheetViews>
  <sheetFormatPr defaultColWidth="9.109375" defaultRowHeight="13.2" x14ac:dyDescent="0.25"/>
  <cols>
    <col min="1" max="16384" width="9.109375" style="484"/>
  </cols>
  <sheetData/>
  <sheetProtection password="8D83" sheet="1" objects="1" scenarios="1"/>
  <phoneticPr fontId="1" type="noConversion"/>
  <pageMargins left="0.75" right="0.75" top="1" bottom="1" header="0.5" footer="0.5"/>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0"/>
  <sheetViews>
    <sheetView showGridLines="0" showRowColHeaders="0" tabSelected="1" topLeftCell="A34" zoomScale="75" workbookViewId="0">
      <selection activeCell="Y29" sqref="Y29"/>
    </sheetView>
  </sheetViews>
  <sheetFormatPr defaultColWidth="11.5546875" defaultRowHeight="15.6" x14ac:dyDescent="0.3"/>
  <cols>
    <col min="1" max="1" width="10.33203125" style="29" customWidth="1"/>
    <col min="2" max="2" width="28.109375" style="29" customWidth="1"/>
    <col min="3" max="3" width="24.88671875" style="30" customWidth="1"/>
    <col min="4" max="8" width="16.33203125" style="30" customWidth="1"/>
    <col min="9" max="11" width="16.33203125" style="32" customWidth="1"/>
    <col min="12" max="16384" width="11.5546875" style="29"/>
  </cols>
  <sheetData>
    <row r="1" spans="1:14" ht="24.6" x14ac:dyDescent="0.4">
      <c r="A1" s="28" t="s">
        <v>21</v>
      </c>
      <c r="D1" s="31"/>
    </row>
    <row r="3" spans="1:14" ht="17.399999999999999" x14ac:dyDescent="0.3">
      <c r="A3" s="33" t="s">
        <v>22</v>
      </c>
    </row>
    <row r="4" spans="1:14" ht="17.399999999999999" x14ac:dyDescent="0.3">
      <c r="A4" s="33"/>
    </row>
    <row r="5" spans="1:14" x14ac:dyDescent="0.3">
      <c r="B5" s="29" t="s">
        <v>23</v>
      </c>
      <c r="D5" s="34">
        <f>'Farm Parameters'!D6</f>
        <v>140</v>
      </c>
    </row>
    <row r="6" spans="1:14" ht="6" customHeight="1" x14ac:dyDescent="0.3">
      <c r="D6" s="35"/>
    </row>
    <row r="7" spans="1:14" x14ac:dyDescent="0.3">
      <c r="B7" s="29" t="s">
        <v>24</v>
      </c>
      <c r="D7" s="36">
        <f>'Price and Yields'!$C$21</f>
        <v>0</v>
      </c>
    </row>
    <row r="8" spans="1:14" ht="6" customHeight="1" x14ac:dyDescent="0.3"/>
    <row r="9" spans="1:14" x14ac:dyDescent="0.3">
      <c r="B9" s="29" t="s">
        <v>25</v>
      </c>
      <c r="D9" s="37">
        <f>'Price and Yields'!$C$16</f>
        <v>2.4860869565217394</v>
      </c>
    </row>
    <row r="10" spans="1:14" ht="6" customHeight="1" x14ac:dyDescent="0.3">
      <c r="D10" s="32"/>
    </row>
    <row r="11" spans="1:14" x14ac:dyDescent="0.3">
      <c r="B11" s="29" t="s">
        <v>26</v>
      </c>
      <c r="D11" s="38">
        <v>200</v>
      </c>
    </row>
    <row r="12" spans="1:14" x14ac:dyDescent="0.3">
      <c r="D12" s="39"/>
    </row>
    <row r="13" spans="1:14" s="40" customFormat="1" ht="17.399999999999999" x14ac:dyDescent="0.3">
      <c r="A13" s="33" t="s">
        <v>27</v>
      </c>
      <c r="C13" s="30"/>
      <c r="D13" s="41"/>
      <c r="E13" s="41"/>
      <c r="F13" s="41"/>
      <c r="G13" s="30"/>
      <c r="H13" s="41" t="s">
        <v>28</v>
      </c>
      <c r="I13" s="42" t="s">
        <v>29</v>
      </c>
      <c r="J13" s="42" t="s">
        <v>30</v>
      </c>
      <c r="K13" s="42" t="s">
        <v>31</v>
      </c>
      <c r="L13" s="29"/>
      <c r="M13" s="29"/>
      <c r="N13" s="41" t="s">
        <v>32</v>
      </c>
    </row>
    <row r="14" spans="1:14" s="40" customFormat="1" ht="17.399999999999999" x14ac:dyDescent="0.3">
      <c r="A14" s="33"/>
      <c r="B14" s="40" t="s">
        <v>33</v>
      </c>
      <c r="C14" s="41"/>
      <c r="D14" s="30"/>
      <c r="E14" s="30"/>
      <c r="F14" s="30"/>
      <c r="G14" s="30"/>
      <c r="H14" s="43">
        <f>D7*D5</f>
        <v>0</v>
      </c>
      <c r="I14" s="44">
        <f>IF(ISERROR(J14/D7),0,J14/D7)</f>
        <v>0</v>
      </c>
      <c r="J14" s="44">
        <f>K14/D5</f>
        <v>0</v>
      </c>
      <c r="K14" s="44">
        <f>H14*D9*'Price and Yields'!$E$8</f>
        <v>0</v>
      </c>
      <c r="L14" s="29"/>
      <c r="M14" s="29"/>
      <c r="N14" s="41"/>
    </row>
    <row r="15" spans="1:14" ht="6" customHeight="1" x14ac:dyDescent="0.3"/>
    <row r="16" spans="1:14" ht="17.399999999999999" x14ac:dyDescent="0.3">
      <c r="A16" s="45" t="s">
        <v>34</v>
      </c>
    </row>
    <row r="17" spans="1:13" ht="6" customHeight="1" x14ac:dyDescent="0.3">
      <c r="A17" s="45"/>
    </row>
    <row r="18" spans="1:13" s="40" customFormat="1" x14ac:dyDescent="0.3">
      <c r="B18" s="46" t="s">
        <v>35</v>
      </c>
      <c r="C18" s="47"/>
      <c r="D18" s="48" t="s">
        <v>36</v>
      </c>
      <c r="E18" s="48" t="s">
        <v>37</v>
      </c>
      <c r="F18" s="48" t="s">
        <v>38</v>
      </c>
      <c r="G18" s="48" t="s">
        <v>39</v>
      </c>
      <c r="H18" s="48" t="s">
        <v>40</v>
      </c>
      <c r="I18" s="49"/>
      <c r="J18" s="49" t="s">
        <v>30</v>
      </c>
      <c r="K18" s="50" t="s">
        <v>31</v>
      </c>
      <c r="L18" s="29"/>
      <c r="M18" s="29"/>
    </row>
    <row r="19" spans="1:13" x14ac:dyDescent="0.3">
      <c r="B19" s="51" t="s">
        <v>249</v>
      </c>
      <c r="C19" s="52"/>
      <c r="D19" s="53"/>
      <c r="E19" s="53"/>
      <c r="F19" s="53"/>
      <c r="G19" s="53"/>
      <c r="H19" s="53"/>
      <c r="I19" s="54"/>
      <c r="J19" s="54"/>
      <c r="K19" s="55"/>
    </row>
    <row r="20" spans="1:13" x14ac:dyDescent="0.3">
      <c r="B20" s="56" t="s">
        <v>42</v>
      </c>
      <c r="C20" s="57"/>
      <c r="D20" s="58">
        <v>6</v>
      </c>
      <c r="E20" s="59" t="s">
        <v>43</v>
      </c>
      <c r="F20" s="60" t="s">
        <v>44</v>
      </c>
      <c r="G20" s="58">
        <v>1</v>
      </c>
      <c r="H20" s="61">
        <v>1.65</v>
      </c>
      <c r="I20" s="62"/>
      <c r="J20" s="63">
        <f>K20/$D$5</f>
        <v>7.0714285714285702E-2</v>
      </c>
      <c r="K20" s="64">
        <f>H20*G20*D20</f>
        <v>9.8999999999999986</v>
      </c>
    </row>
    <row r="21" spans="1:13" x14ac:dyDescent="0.3">
      <c r="B21" s="65" t="s">
        <v>45</v>
      </c>
      <c r="C21" s="66"/>
      <c r="D21" s="67">
        <v>4</v>
      </c>
      <c r="E21" s="68" t="s">
        <v>43</v>
      </c>
      <c r="F21" s="69" t="s">
        <v>44</v>
      </c>
      <c r="G21" s="67">
        <v>0.4</v>
      </c>
      <c r="H21" s="70">
        <v>3</v>
      </c>
      <c r="I21" s="71"/>
      <c r="J21" s="72">
        <f>K21/$D$5</f>
        <v>3.4285714285714287E-2</v>
      </c>
      <c r="K21" s="73">
        <f>H21*G21*D21</f>
        <v>4.8000000000000007</v>
      </c>
    </row>
    <row r="22" spans="1:13" x14ac:dyDescent="0.3">
      <c r="B22" s="74" t="s">
        <v>46</v>
      </c>
      <c r="C22" s="75"/>
      <c r="D22" s="76">
        <v>5</v>
      </c>
      <c r="E22" s="77" t="s">
        <v>43</v>
      </c>
      <c r="F22" s="78" t="s">
        <v>44</v>
      </c>
      <c r="G22" s="76">
        <v>0.4</v>
      </c>
      <c r="H22" s="79">
        <v>1.65</v>
      </c>
      <c r="I22" s="80"/>
      <c r="J22" s="81">
        <f>K22/$D$5</f>
        <v>2.3571428571428573E-2</v>
      </c>
      <c r="K22" s="82">
        <f>H22*G22*D22</f>
        <v>3.3000000000000003</v>
      </c>
    </row>
    <row r="23" spans="1:13" x14ac:dyDescent="0.3">
      <c r="B23" s="83" t="s">
        <v>47</v>
      </c>
      <c r="C23" s="84"/>
      <c r="D23" s="85"/>
      <c r="E23" s="85"/>
      <c r="F23" s="85"/>
      <c r="G23" s="85"/>
      <c r="H23" s="86"/>
      <c r="I23" s="87"/>
      <c r="J23" s="87"/>
      <c r="K23" s="88">
        <f>SUM(K20:K22)</f>
        <v>18</v>
      </c>
    </row>
    <row r="24" spans="1:13" x14ac:dyDescent="0.3">
      <c r="B24" s="51" t="s">
        <v>48</v>
      </c>
      <c r="C24" s="52"/>
      <c r="D24" s="53"/>
      <c r="E24" s="53"/>
      <c r="F24" s="53"/>
      <c r="G24" s="53"/>
      <c r="H24" s="89"/>
      <c r="I24" s="54"/>
      <c r="J24" s="54"/>
      <c r="K24" s="55"/>
    </row>
    <row r="25" spans="1:13" x14ac:dyDescent="0.3">
      <c r="B25" s="56" t="s">
        <v>49</v>
      </c>
      <c r="C25" s="57"/>
      <c r="D25" s="58">
        <v>0</v>
      </c>
      <c r="E25" s="59" t="s">
        <v>43</v>
      </c>
      <c r="F25" s="58">
        <v>0.5</v>
      </c>
      <c r="G25" s="90">
        <f>F25*$D$5</f>
        <v>70</v>
      </c>
      <c r="H25" s="61">
        <v>11</v>
      </c>
      <c r="I25" s="62"/>
      <c r="J25" s="63">
        <f>K25/$D$5</f>
        <v>0</v>
      </c>
      <c r="K25" s="64">
        <f>H25*G25*D25</f>
        <v>0</v>
      </c>
    </row>
    <row r="26" spans="1:13" x14ac:dyDescent="0.3">
      <c r="B26" s="65" t="s">
        <v>50</v>
      </c>
      <c r="C26" s="66"/>
      <c r="D26" s="67">
        <v>0</v>
      </c>
      <c r="E26" s="68" t="s">
        <v>43</v>
      </c>
      <c r="F26" s="67">
        <v>0.5</v>
      </c>
      <c r="G26" s="91">
        <f>F26*$D$5</f>
        <v>70</v>
      </c>
      <c r="H26" s="70">
        <v>11</v>
      </c>
      <c r="I26" s="71"/>
      <c r="J26" s="72">
        <f>K26/$D$5</f>
        <v>0</v>
      </c>
      <c r="K26" s="73">
        <f>H26*G26*D26</f>
        <v>0</v>
      </c>
    </row>
    <row r="27" spans="1:13" x14ac:dyDescent="0.3">
      <c r="B27" s="74" t="s">
        <v>51</v>
      </c>
      <c r="C27" s="75"/>
      <c r="D27" s="76">
        <v>0</v>
      </c>
      <c r="E27" s="77" t="s">
        <v>43</v>
      </c>
      <c r="F27" s="76">
        <v>0.5</v>
      </c>
      <c r="G27" s="92">
        <f>F27*$D$5</f>
        <v>70</v>
      </c>
      <c r="H27" s="79">
        <v>11</v>
      </c>
      <c r="I27" s="80"/>
      <c r="J27" s="81">
        <f>K27/$D$5</f>
        <v>0</v>
      </c>
      <c r="K27" s="82">
        <f>H27*G27*D27</f>
        <v>0</v>
      </c>
    </row>
    <row r="28" spans="1:13" x14ac:dyDescent="0.3">
      <c r="B28" s="83" t="s">
        <v>47</v>
      </c>
      <c r="C28" s="84"/>
      <c r="D28" s="85"/>
      <c r="E28" s="85"/>
      <c r="F28" s="85"/>
      <c r="G28" s="85"/>
      <c r="H28" s="86"/>
      <c r="I28" s="87"/>
      <c r="J28" s="87"/>
      <c r="K28" s="88">
        <f>SUM(K25:K27)</f>
        <v>0</v>
      </c>
    </row>
    <row r="29" spans="1:13" x14ac:dyDescent="0.3">
      <c r="B29" s="51" t="s">
        <v>46</v>
      </c>
      <c r="C29" s="52"/>
      <c r="D29" s="53"/>
      <c r="E29" s="53"/>
      <c r="F29" s="53"/>
      <c r="G29" s="53"/>
      <c r="H29" s="89"/>
      <c r="I29" s="54"/>
      <c r="J29" s="54"/>
      <c r="K29" s="55"/>
    </row>
    <row r="30" spans="1:13" x14ac:dyDescent="0.3">
      <c r="B30" s="56" t="s">
        <v>52</v>
      </c>
      <c r="C30" s="57"/>
      <c r="D30" s="58">
        <v>2</v>
      </c>
      <c r="E30" s="59" t="s">
        <v>53</v>
      </c>
      <c r="F30" s="58">
        <f>0.03</f>
        <v>0.03</v>
      </c>
      <c r="G30" s="60">
        <f t="shared" ref="G30:G37" si="0">F30*$D$5</f>
        <v>4.2</v>
      </c>
      <c r="H30" s="61">
        <v>0.47</v>
      </c>
      <c r="I30" s="62"/>
      <c r="J30" s="64">
        <f t="shared" ref="J30:J37" si="1">K30/$D$5</f>
        <v>2.8199999999999999E-2</v>
      </c>
      <c r="K30" s="64">
        <f t="shared" ref="K30:K37" si="2">H30*G30*D30</f>
        <v>3.948</v>
      </c>
    </row>
    <row r="31" spans="1:13" x14ac:dyDescent="0.3">
      <c r="B31" s="65" t="s">
        <v>54</v>
      </c>
      <c r="C31" s="66"/>
      <c r="D31" s="67">
        <v>2</v>
      </c>
      <c r="E31" s="68" t="s">
        <v>53</v>
      </c>
      <c r="F31" s="67">
        <v>8.7499999999999994E-2</v>
      </c>
      <c r="G31" s="69">
        <f t="shared" si="0"/>
        <v>12.25</v>
      </c>
      <c r="H31" s="70">
        <v>0.53</v>
      </c>
      <c r="I31" s="71"/>
      <c r="J31" s="73">
        <f t="shared" si="1"/>
        <v>9.2750000000000013E-2</v>
      </c>
      <c r="K31" s="73">
        <f t="shared" si="2"/>
        <v>12.985000000000001</v>
      </c>
    </row>
    <row r="32" spans="1:13" x14ac:dyDescent="0.3">
      <c r="B32" s="65" t="s">
        <v>55</v>
      </c>
      <c r="C32" s="66"/>
      <c r="D32" s="67">
        <v>1</v>
      </c>
      <c r="E32" s="68" t="s">
        <v>56</v>
      </c>
      <c r="F32" s="67">
        <v>8</v>
      </c>
      <c r="G32" s="69">
        <f t="shared" si="0"/>
        <v>1120</v>
      </c>
      <c r="H32" s="70">
        <v>3.0000000000000001E-3</v>
      </c>
      <c r="I32" s="71"/>
      <c r="J32" s="73">
        <f t="shared" si="1"/>
        <v>2.4E-2</v>
      </c>
      <c r="K32" s="73">
        <f t="shared" si="2"/>
        <v>3.36</v>
      </c>
    </row>
    <row r="33" spans="2:11" x14ac:dyDescent="0.3">
      <c r="B33" s="65" t="s">
        <v>57</v>
      </c>
      <c r="C33" s="66"/>
      <c r="D33" s="67">
        <v>1</v>
      </c>
      <c r="E33" s="68" t="s">
        <v>58</v>
      </c>
      <c r="F33" s="67">
        <v>4</v>
      </c>
      <c r="G33" s="69">
        <f t="shared" si="0"/>
        <v>560</v>
      </c>
      <c r="H33" s="70">
        <v>1.5</v>
      </c>
      <c r="I33" s="71"/>
      <c r="J33" s="73">
        <f t="shared" si="1"/>
        <v>6</v>
      </c>
      <c r="K33" s="73">
        <f t="shared" si="2"/>
        <v>840</v>
      </c>
    </row>
    <row r="34" spans="2:11" x14ac:dyDescent="0.3">
      <c r="B34" s="65" t="s">
        <v>59</v>
      </c>
      <c r="C34" s="66"/>
      <c r="D34" s="67">
        <v>0</v>
      </c>
      <c r="E34" s="68" t="s">
        <v>53</v>
      </c>
      <c r="F34" s="67">
        <v>0.05</v>
      </c>
      <c r="G34" s="69">
        <f t="shared" si="0"/>
        <v>7</v>
      </c>
      <c r="H34" s="70">
        <v>0.88</v>
      </c>
      <c r="I34" s="71"/>
      <c r="J34" s="73">
        <f t="shared" si="1"/>
        <v>0</v>
      </c>
      <c r="K34" s="73">
        <f t="shared" si="2"/>
        <v>0</v>
      </c>
    </row>
    <row r="35" spans="2:11" x14ac:dyDescent="0.3">
      <c r="B35" s="65" t="s">
        <v>60</v>
      </c>
      <c r="C35" s="66"/>
      <c r="D35" s="67">
        <v>1</v>
      </c>
      <c r="E35" s="68" t="s">
        <v>53</v>
      </c>
      <c r="F35" s="67">
        <v>2.5000000000000001E-2</v>
      </c>
      <c r="G35" s="69">
        <f t="shared" si="0"/>
        <v>3.5</v>
      </c>
      <c r="H35" s="70">
        <v>1</v>
      </c>
      <c r="I35" s="71"/>
      <c r="J35" s="73">
        <f t="shared" si="1"/>
        <v>2.5000000000000001E-2</v>
      </c>
      <c r="K35" s="73">
        <f t="shared" si="2"/>
        <v>3.5</v>
      </c>
    </row>
    <row r="36" spans="2:11" x14ac:dyDescent="0.3">
      <c r="B36" s="65" t="s">
        <v>61</v>
      </c>
      <c r="C36" s="66"/>
      <c r="D36" s="67">
        <v>2</v>
      </c>
      <c r="E36" s="68" t="s">
        <v>53</v>
      </c>
      <c r="F36" s="67">
        <v>0.01</v>
      </c>
      <c r="G36" s="69">
        <f t="shared" si="0"/>
        <v>1.4000000000000001</v>
      </c>
      <c r="H36" s="70">
        <f>69.48/25</f>
        <v>2.7792000000000003</v>
      </c>
      <c r="I36" s="71"/>
      <c r="J36" s="73">
        <f t="shared" si="1"/>
        <v>5.5584000000000015E-2</v>
      </c>
      <c r="K36" s="73">
        <f t="shared" si="2"/>
        <v>7.781760000000002</v>
      </c>
    </row>
    <row r="37" spans="2:11" x14ac:dyDescent="0.3">
      <c r="B37" s="74" t="s">
        <v>62</v>
      </c>
      <c r="C37" s="75"/>
      <c r="D37" s="76">
        <v>0</v>
      </c>
      <c r="E37" s="68" t="s">
        <v>53</v>
      </c>
      <c r="F37" s="76">
        <v>0.02</v>
      </c>
      <c r="G37" s="78">
        <f t="shared" si="0"/>
        <v>2.8000000000000003</v>
      </c>
      <c r="H37" s="79">
        <v>0.14000000000000001</v>
      </c>
      <c r="I37" s="80"/>
      <c r="J37" s="82">
        <f t="shared" si="1"/>
        <v>0</v>
      </c>
      <c r="K37" s="82">
        <f t="shared" si="2"/>
        <v>0</v>
      </c>
    </row>
    <row r="38" spans="2:11" x14ac:dyDescent="0.3">
      <c r="B38" s="83" t="s">
        <v>47</v>
      </c>
      <c r="C38" s="84"/>
      <c r="D38" s="85"/>
      <c r="E38" s="85"/>
      <c r="F38" s="85"/>
      <c r="G38" s="85"/>
      <c r="H38" s="86"/>
      <c r="I38" s="87"/>
      <c r="J38" s="87"/>
      <c r="K38" s="88">
        <f>SUM(K30:K37)</f>
        <v>871.57475999999997</v>
      </c>
    </row>
    <row r="39" spans="2:11" x14ac:dyDescent="0.3">
      <c r="B39" s="51" t="s">
        <v>63</v>
      </c>
      <c r="C39" s="52"/>
      <c r="D39" s="53"/>
      <c r="E39" s="53"/>
      <c r="F39" s="53"/>
      <c r="G39" s="93"/>
      <c r="H39" s="89"/>
      <c r="I39" s="54"/>
      <c r="J39" s="54"/>
      <c r="K39" s="55"/>
    </row>
    <row r="40" spans="2:11" x14ac:dyDescent="0.3">
      <c r="B40" s="56" t="s">
        <v>64</v>
      </c>
      <c r="C40" s="57"/>
      <c r="D40" s="58">
        <v>4</v>
      </c>
      <c r="E40" s="59" t="s">
        <v>56</v>
      </c>
      <c r="F40" s="94">
        <v>1.4999999999999999E-2</v>
      </c>
      <c r="G40" s="90">
        <f>F40*$D$5</f>
        <v>2.1</v>
      </c>
      <c r="H40" s="95">
        <v>9.75</v>
      </c>
      <c r="I40" s="62"/>
      <c r="J40" s="63">
        <f>K40/$D$5</f>
        <v>0.58500000000000008</v>
      </c>
      <c r="K40" s="64">
        <f>H40*G40*D40</f>
        <v>81.900000000000006</v>
      </c>
    </row>
    <row r="41" spans="2:11" x14ac:dyDescent="0.3">
      <c r="B41" s="96" t="s">
        <v>65</v>
      </c>
      <c r="C41" s="66"/>
      <c r="D41" s="67">
        <v>0</v>
      </c>
      <c r="E41" s="68" t="s">
        <v>56</v>
      </c>
      <c r="F41" s="97">
        <v>0</v>
      </c>
      <c r="G41" s="91">
        <f>F41*$D$5</f>
        <v>0</v>
      </c>
      <c r="H41" s="98">
        <v>0</v>
      </c>
      <c r="I41" s="71"/>
      <c r="J41" s="72">
        <f>K41/$D$5</f>
        <v>0</v>
      </c>
      <c r="K41" s="73">
        <f>H41*G41*D41</f>
        <v>0</v>
      </c>
    </row>
    <row r="42" spans="2:11" x14ac:dyDescent="0.3">
      <c r="B42" s="99" t="s">
        <v>65</v>
      </c>
      <c r="C42" s="75"/>
      <c r="D42" s="76">
        <v>0</v>
      </c>
      <c r="E42" s="77" t="s">
        <v>56</v>
      </c>
      <c r="F42" s="100">
        <v>0</v>
      </c>
      <c r="G42" s="92">
        <f>F42*$D$5</f>
        <v>0</v>
      </c>
      <c r="H42" s="101">
        <v>0</v>
      </c>
      <c r="I42" s="80"/>
      <c r="J42" s="81">
        <f>K42/$D$5</f>
        <v>0</v>
      </c>
      <c r="K42" s="82">
        <f>H42*G42*D42</f>
        <v>0</v>
      </c>
    </row>
    <row r="43" spans="2:11" x14ac:dyDescent="0.3">
      <c r="B43" s="83" t="s">
        <v>47</v>
      </c>
      <c r="C43" s="84"/>
      <c r="D43" s="85"/>
      <c r="E43" s="85"/>
      <c r="F43" s="85"/>
      <c r="G43" s="102"/>
      <c r="H43" s="86"/>
      <c r="I43" s="87"/>
      <c r="J43" s="87"/>
      <c r="K43" s="88">
        <f>SUM(K40:K42)</f>
        <v>81.900000000000006</v>
      </c>
    </row>
    <row r="44" spans="2:11" s="40" customFormat="1" x14ac:dyDescent="0.3">
      <c r="B44" s="51" t="s">
        <v>66</v>
      </c>
      <c r="C44" s="52" t="s">
        <v>67</v>
      </c>
      <c r="D44" s="53"/>
      <c r="E44" s="53"/>
      <c r="F44" s="53"/>
      <c r="G44" s="53"/>
      <c r="H44" s="89"/>
      <c r="I44" s="54"/>
      <c r="J44" s="54"/>
      <c r="K44" s="55"/>
    </row>
    <row r="45" spans="2:11" x14ac:dyDescent="0.3">
      <c r="B45" s="65" t="s">
        <v>68</v>
      </c>
      <c r="C45" s="103">
        <v>0.15</v>
      </c>
      <c r="D45" s="67">
        <v>0</v>
      </c>
      <c r="E45" s="68" t="s">
        <v>56</v>
      </c>
      <c r="F45" s="104">
        <f>IF(D45=0,0,$D$11/100*C45/$D$5)</f>
        <v>0</v>
      </c>
      <c r="G45" s="69">
        <f>F45*$D$5</f>
        <v>0</v>
      </c>
      <c r="H45" s="70">
        <v>7.65</v>
      </c>
      <c r="I45" s="71"/>
      <c r="J45" s="73">
        <f>K45/$D$5</f>
        <v>0</v>
      </c>
      <c r="K45" s="73">
        <f>H45*G45*D45</f>
        <v>0</v>
      </c>
    </row>
    <row r="46" spans="2:11" x14ac:dyDescent="0.3">
      <c r="B46" s="65" t="s">
        <v>69</v>
      </c>
      <c r="C46" s="103">
        <v>0.1</v>
      </c>
      <c r="D46" s="67">
        <v>0</v>
      </c>
      <c r="E46" s="68" t="s">
        <v>56</v>
      </c>
      <c r="F46" s="104">
        <f>IF(D46=0,0,$D$11/100*C46/$D$5)</f>
        <v>0</v>
      </c>
      <c r="G46" s="69">
        <f>F46*$D$5</f>
        <v>0</v>
      </c>
      <c r="H46" s="70">
        <v>17.82</v>
      </c>
      <c r="I46" s="71"/>
      <c r="J46" s="73">
        <f>K46/$D$5</f>
        <v>0</v>
      </c>
      <c r="K46" s="73">
        <f>H46*G46*D46</f>
        <v>0</v>
      </c>
    </row>
    <row r="47" spans="2:11" x14ac:dyDescent="0.3">
      <c r="B47" s="65" t="s">
        <v>70</v>
      </c>
      <c r="C47" s="103">
        <v>3.7999999999999999E-2</v>
      </c>
      <c r="D47" s="67">
        <v>0</v>
      </c>
      <c r="E47" s="68" t="s">
        <v>56</v>
      </c>
      <c r="F47" s="104">
        <f>IF(D47=0,0,$D$11/100*C47/$D$5)</f>
        <v>0</v>
      </c>
      <c r="G47" s="69">
        <f>F47*$D$5</f>
        <v>0</v>
      </c>
      <c r="H47" s="70">
        <v>82.72</v>
      </c>
      <c r="I47" s="71"/>
      <c r="J47" s="73">
        <f>K47/$D$5</f>
        <v>0</v>
      </c>
      <c r="K47" s="73">
        <f>H47*G47*D47</f>
        <v>0</v>
      </c>
    </row>
    <row r="48" spans="2:11" x14ac:dyDescent="0.3">
      <c r="B48" s="74" t="s">
        <v>71</v>
      </c>
      <c r="C48" s="105">
        <v>7.4999999999999997E-2</v>
      </c>
      <c r="D48" s="76">
        <v>0</v>
      </c>
      <c r="E48" s="77" t="s">
        <v>56</v>
      </c>
      <c r="F48" s="106">
        <f>IF(D48=0,0,$D$11/100*C48/$D$5)</f>
        <v>0</v>
      </c>
      <c r="G48" s="78">
        <f>F48*$D$5</f>
        <v>0</v>
      </c>
      <c r="H48" s="79">
        <v>8.1999999999999993</v>
      </c>
      <c r="I48" s="80"/>
      <c r="J48" s="82">
        <f>K48/$D$5</f>
        <v>0</v>
      </c>
      <c r="K48" s="82">
        <f>H48*G48*D48</f>
        <v>0</v>
      </c>
    </row>
    <row r="49" spans="2:11" x14ac:dyDescent="0.3">
      <c r="B49" s="83" t="s">
        <v>47</v>
      </c>
      <c r="C49" s="84"/>
      <c r="D49" s="85"/>
      <c r="E49" s="85"/>
      <c r="F49" s="85"/>
      <c r="G49" s="85"/>
      <c r="H49" s="86"/>
      <c r="I49" s="87"/>
      <c r="J49" s="87"/>
      <c r="K49" s="88">
        <f>SUM(K45:K48)</f>
        <v>0</v>
      </c>
    </row>
    <row r="50" spans="2:11" x14ac:dyDescent="0.3">
      <c r="B50" s="51" t="s">
        <v>72</v>
      </c>
      <c r="C50" s="52"/>
      <c r="D50" s="53"/>
      <c r="E50" s="53"/>
      <c r="F50" s="53"/>
      <c r="G50" s="53"/>
      <c r="H50" s="89"/>
      <c r="I50" s="54"/>
      <c r="J50" s="54"/>
      <c r="K50" s="55"/>
    </row>
    <row r="51" spans="2:11" x14ac:dyDescent="0.3">
      <c r="B51" s="56" t="s">
        <v>73</v>
      </c>
      <c r="C51" s="107">
        <v>0.2</v>
      </c>
      <c r="D51" s="58">
        <v>0</v>
      </c>
      <c r="E51" s="68" t="s">
        <v>53</v>
      </c>
      <c r="F51" s="108">
        <f>IF(D51=0,0,$D$11/100*C51/$D$5)</f>
        <v>0</v>
      </c>
      <c r="G51" s="90">
        <f>F51*$D$5</f>
        <v>0</v>
      </c>
      <c r="H51" s="61">
        <v>6.33</v>
      </c>
      <c r="I51" s="62"/>
      <c r="J51" s="63">
        <f>K51/$D$5</f>
        <v>0</v>
      </c>
      <c r="K51" s="64">
        <f>H51*G51*D51</f>
        <v>0</v>
      </c>
    </row>
    <row r="52" spans="2:11" x14ac:dyDescent="0.3">
      <c r="B52" s="96" t="s">
        <v>74</v>
      </c>
      <c r="C52" s="36" t="s">
        <v>44</v>
      </c>
      <c r="D52" s="67">
        <v>1</v>
      </c>
      <c r="E52" s="68" t="s">
        <v>56</v>
      </c>
      <c r="F52" s="109">
        <v>0.02</v>
      </c>
      <c r="G52" s="91">
        <f>F52*$D$5</f>
        <v>2.8000000000000003</v>
      </c>
      <c r="H52" s="70">
        <v>2.2000000000000002</v>
      </c>
      <c r="I52" s="71"/>
      <c r="J52" s="72">
        <f>K52/$D$5</f>
        <v>4.4000000000000004E-2</v>
      </c>
      <c r="K52" s="73">
        <f>H52*G52*D52</f>
        <v>6.160000000000001</v>
      </c>
    </row>
    <row r="53" spans="2:11" x14ac:dyDescent="0.3">
      <c r="B53" s="99" t="s">
        <v>65</v>
      </c>
      <c r="C53" s="110">
        <v>0</v>
      </c>
      <c r="D53" s="76">
        <v>0</v>
      </c>
      <c r="E53" s="68" t="s">
        <v>53</v>
      </c>
      <c r="F53" s="106">
        <f>IF(D53=0,0,$D$11/100*C53/$D$5)</f>
        <v>0</v>
      </c>
      <c r="G53" s="92">
        <f>F53*$D$5</f>
        <v>0</v>
      </c>
      <c r="H53" s="79">
        <v>0</v>
      </c>
      <c r="I53" s="80"/>
      <c r="J53" s="81">
        <f>K53/$D$5</f>
        <v>0</v>
      </c>
      <c r="K53" s="82">
        <f>H53*G53*D53</f>
        <v>0</v>
      </c>
    </row>
    <row r="54" spans="2:11" x14ac:dyDescent="0.3">
      <c r="B54" s="83" t="s">
        <v>47</v>
      </c>
      <c r="C54" s="84"/>
      <c r="D54" s="85"/>
      <c r="E54" s="85"/>
      <c r="F54" s="85"/>
      <c r="G54" s="85"/>
      <c r="H54" s="86"/>
      <c r="I54" s="87"/>
      <c r="J54" s="87"/>
      <c r="K54" s="88">
        <f>SUM(K51:K53)</f>
        <v>6.160000000000001</v>
      </c>
    </row>
    <row r="55" spans="2:11" x14ac:dyDescent="0.3">
      <c r="B55" s="51" t="s">
        <v>65</v>
      </c>
      <c r="C55" s="52"/>
      <c r="D55" s="53"/>
      <c r="E55" s="53"/>
      <c r="F55" s="53"/>
      <c r="G55" s="53"/>
      <c r="H55" s="277"/>
      <c r="I55" s="54"/>
      <c r="J55" s="54"/>
      <c r="K55" s="55"/>
    </row>
    <row r="56" spans="2:11" x14ac:dyDescent="0.3">
      <c r="B56" s="56" t="s">
        <v>75</v>
      </c>
      <c r="C56" s="57"/>
      <c r="D56" s="60" t="s">
        <v>44</v>
      </c>
      <c r="E56" s="59" t="s">
        <v>76</v>
      </c>
      <c r="F56" s="60" t="s">
        <v>44</v>
      </c>
      <c r="G56" s="303">
        <v>1.365</v>
      </c>
      <c r="H56" s="61">
        <v>30</v>
      </c>
      <c r="I56" s="62"/>
      <c r="J56" s="63">
        <f>K56/$D$5</f>
        <v>0.29250000000000004</v>
      </c>
      <c r="K56" s="64">
        <f>H56*G56</f>
        <v>40.950000000000003</v>
      </c>
    </row>
    <row r="57" spans="2:11" x14ac:dyDescent="0.3">
      <c r="B57" s="99" t="s">
        <v>77</v>
      </c>
      <c r="C57" s="75"/>
      <c r="D57" s="78" t="s">
        <v>44</v>
      </c>
      <c r="E57" s="77" t="s">
        <v>43</v>
      </c>
      <c r="F57" s="78" t="s">
        <v>44</v>
      </c>
      <c r="G57" s="304">
        <v>0</v>
      </c>
      <c r="H57" s="79">
        <v>11</v>
      </c>
      <c r="I57" s="80"/>
      <c r="J57" s="81">
        <f>K57/$D$5</f>
        <v>0</v>
      </c>
      <c r="K57" s="82">
        <f>H57*G57</f>
        <v>0</v>
      </c>
    </row>
    <row r="58" spans="2:11" x14ac:dyDescent="0.3">
      <c r="B58" s="114" t="s">
        <v>78</v>
      </c>
      <c r="C58" s="115"/>
      <c r="D58" s="116"/>
      <c r="E58" s="116"/>
      <c r="F58" s="116"/>
      <c r="G58" s="116"/>
      <c r="H58" s="153"/>
      <c r="I58" s="117"/>
      <c r="J58" s="117">
        <f>SUM(J20:J57)</f>
        <v>7.2756054285714287</v>
      </c>
      <c r="K58" s="118">
        <f>K57+K56+K54+K49+K43+K38+K28+K23</f>
        <v>1018.58476</v>
      </c>
    </row>
    <row r="59" spans="2:11" x14ac:dyDescent="0.3">
      <c r="C59" s="29"/>
      <c r="D59" s="29"/>
      <c r="E59" s="29"/>
      <c r="F59" s="29"/>
      <c r="G59" s="29"/>
      <c r="H59" s="29"/>
      <c r="I59" s="29"/>
      <c r="J59" s="29"/>
      <c r="K59" s="29"/>
    </row>
    <row r="60" spans="2:11" x14ac:dyDescent="0.3">
      <c r="B60" s="114" t="s">
        <v>79</v>
      </c>
      <c r="C60" s="115"/>
      <c r="D60" s="116"/>
      <c r="E60" s="116"/>
      <c r="F60" s="116"/>
      <c r="G60" s="116"/>
      <c r="H60" s="116"/>
      <c r="I60" s="117"/>
      <c r="J60" s="117"/>
      <c r="K60" s="119"/>
    </row>
    <row r="61" spans="2:11" x14ac:dyDescent="0.3">
      <c r="B61" s="56" t="s">
        <v>80</v>
      </c>
      <c r="C61" s="57"/>
      <c r="D61" s="58">
        <v>144</v>
      </c>
      <c r="E61" s="120"/>
      <c r="F61" s="120"/>
      <c r="G61" s="120"/>
      <c r="H61" s="120"/>
      <c r="I61" s="62"/>
      <c r="J61" s="62"/>
      <c r="K61" s="121"/>
    </row>
    <row r="62" spans="2:11" x14ac:dyDescent="0.3">
      <c r="B62" s="65" t="s">
        <v>81</v>
      </c>
      <c r="C62" s="66"/>
      <c r="D62" s="76">
        <v>99</v>
      </c>
      <c r="E62" s="122"/>
      <c r="F62" s="122"/>
      <c r="G62" s="122"/>
      <c r="H62" s="122"/>
      <c r="I62" s="71"/>
      <c r="J62" s="71"/>
      <c r="K62" s="123"/>
    </row>
    <row r="63" spans="2:11" x14ac:dyDescent="0.3">
      <c r="B63" s="65" t="s">
        <v>82</v>
      </c>
      <c r="C63" s="66"/>
      <c r="D63" s="69">
        <f>'Price and Yields'!$E$11*'Year 1'!$D$7</f>
        <v>0</v>
      </c>
      <c r="E63" s="122" t="s">
        <v>83</v>
      </c>
      <c r="F63" s="122"/>
      <c r="G63" s="122"/>
      <c r="H63" s="122"/>
      <c r="I63" s="71"/>
      <c r="J63" s="71"/>
      <c r="K63" s="123"/>
    </row>
    <row r="64" spans="2:11" x14ac:dyDescent="0.3">
      <c r="B64" s="65" t="s">
        <v>84</v>
      </c>
      <c r="C64" s="66"/>
      <c r="D64" s="69">
        <f>'Price and Yields'!$E$12*'Year 1'!$D$7</f>
        <v>0</v>
      </c>
      <c r="E64" s="122" t="s">
        <v>83</v>
      </c>
      <c r="F64" s="122"/>
      <c r="G64" s="122"/>
      <c r="H64" s="122"/>
      <c r="I64" s="71"/>
      <c r="J64" s="71"/>
      <c r="K64" s="123"/>
    </row>
    <row r="65" spans="2:13" x14ac:dyDescent="0.3">
      <c r="B65" s="65" t="s">
        <v>85</v>
      </c>
      <c r="C65" s="66"/>
      <c r="D65" s="69">
        <f>'Price and Yields'!$E$13*'Year 1'!$D$7</f>
        <v>0</v>
      </c>
      <c r="E65" s="122" t="s">
        <v>83</v>
      </c>
      <c r="F65" s="122"/>
      <c r="G65" s="122"/>
      <c r="H65" s="122"/>
      <c r="I65" s="71"/>
      <c r="J65" s="71"/>
      <c r="K65" s="123"/>
    </row>
    <row r="66" spans="2:13" x14ac:dyDescent="0.3">
      <c r="B66" s="74" t="s">
        <v>86</v>
      </c>
      <c r="C66" s="75"/>
      <c r="D66" s="78">
        <f>'Price and Yields'!E14*'Year 1'!D7</f>
        <v>0</v>
      </c>
      <c r="E66" s="124" t="s">
        <v>83</v>
      </c>
      <c r="F66" s="124"/>
      <c r="G66" s="124"/>
      <c r="H66" s="124"/>
      <c r="I66" s="80"/>
      <c r="J66" s="80"/>
      <c r="K66" s="125"/>
    </row>
    <row r="67" spans="2:13" x14ac:dyDescent="0.3">
      <c r="B67" s="51"/>
      <c r="C67" s="52"/>
      <c r="D67" s="126"/>
      <c r="E67" s="53"/>
      <c r="F67" s="53"/>
      <c r="G67" s="53"/>
      <c r="H67" s="53"/>
      <c r="I67" s="54"/>
      <c r="J67" s="54"/>
      <c r="K67" s="55"/>
    </row>
    <row r="68" spans="2:13" s="40" customFormat="1" ht="15.75" customHeight="1" x14ac:dyDescent="0.3">
      <c r="B68" s="114" t="s">
        <v>87</v>
      </c>
      <c r="C68" s="47"/>
      <c r="D68" s="48" t="s">
        <v>88</v>
      </c>
      <c r="E68" s="48" t="s">
        <v>89</v>
      </c>
      <c r="F68" s="48" t="s">
        <v>28</v>
      </c>
      <c r="G68" s="160" t="s">
        <v>90</v>
      </c>
      <c r="H68" s="48"/>
      <c r="I68" s="49" t="s">
        <v>29</v>
      </c>
      <c r="J68" s="49" t="s">
        <v>30</v>
      </c>
      <c r="K68" s="50" t="s">
        <v>31</v>
      </c>
      <c r="L68" s="29"/>
      <c r="M68" s="29"/>
    </row>
    <row r="69" spans="2:13" x14ac:dyDescent="0.3">
      <c r="B69" s="56" t="s">
        <v>91</v>
      </c>
      <c r="C69" s="57"/>
      <c r="D69" s="127">
        <v>100</v>
      </c>
      <c r="E69" s="128">
        <v>6</v>
      </c>
      <c r="F69" s="157">
        <f>($D$63+$D$64+$D$65+$D$66)*$D$5</f>
        <v>0</v>
      </c>
      <c r="G69" s="129">
        <f>'Farm Parameters'!$D$10</f>
        <v>11</v>
      </c>
      <c r="H69" s="120"/>
      <c r="I69" s="63">
        <f>IF(ISERROR(J69/($D$63+$D$64+$D$65)),0,J69/($D$63+$D$64+$D$65))</f>
        <v>0</v>
      </c>
      <c r="J69" s="64">
        <f>K69/$D$5</f>
        <v>0</v>
      </c>
      <c r="K69" s="131">
        <f>G69*E69*F69/D69</f>
        <v>0</v>
      </c>
    </row>
    <row r="70" spans="2:13" x14ac:dyDescent="0.3">
      <c r="B70" s="65" t="s">
        <v>92</v>
      </c>
      <c r="C70" s="66"/>
      <c r="D70" s="132">
        <v>90</v>
      </c>
      <c r="E70" s="133">
        <v>6</v>
      </c>
      <c r="F70" s="158">
        <f>($D$63+$D$64)*$D$5</f>
        <v>0</v>
      </c>
      <c r="G70" s="134">
        <f>'Farm Parameters'!$D$10</f>
        <v>11</v>
      </c>
      <c r="H70" s="122"/>
      <c r="I70" s="72">
        <f>IF(ISERROR(J70/($D$63+$D$64)),0,J70/($D$63+$D$64))</f>
        <v>0</v>
      </c>
      <c r="J70" s="73">
        <f>K70/$D$5</f>
        <v>0</v>
      </c>
      <c r="K70" s="136">
        <f>G70*E70*F70/D70</f>
        <v>0</v>
      </c>
    </row>
    <row r="71" spans="2:13" x14ac:dyDescent="0.3">
      <c r="B71" s="65" t="s">
        <v>93</v>
      </c>
      <c r="C71" s="66"/>
      <c r="D71" s="137">
        <v>90</v>
      </c>
      <c r="E71" s="138">
        <v>6</v>
      </c>
      <c r="F71" s="159">
        <f>($D$65)*'Price and Yields'!$E$8/'Price and Yields'!$E$6*$D$5</f>
        <v>0</v>
      </c>
      <c r="G71" s="139">
        <f>'Farm Parameters'!$D$10</f>
        <v>11</v>
      </c>
      <c r="H71" s="122"/>
      <c r="I71" s="72">
        <f>IF(ISERROR(J71/($D$65)),0,J71/($D$65))</f>
        <v>0</v>
      </c>
      <c r="J71" s="73">
        <f>K71/$D$5</f>
        <v>0</v>
      </c>
      <c r="K71" s="136">
        <f>G71*E71*F71/D71</f>
        <v>0</v>
      </c>
    </row>
    <row r="72" spans="2:13" x14ac:dyDescent="0.3">
      <c r="B72" s="65" t="s">
        <v>94</v>
      </c>
      <c r="C72" s="66"/>
      <c r="D72" s="122"/>
      <c r="E72" s="122"/>
      <c r="F72" s="122"/>
      <c r="G72" s="122"/>
      <c r="H72" s="122"/>
      <c r="I72" s="141">
        <v>1.35E-2</v>
      </c>
      <c r="J72" s="136">
        <f>K72/$D$5</f>
        <v>0</v>
      </c>
      <c r="K72" s="136">
        <f>I72*$D$7*$D$5</f>
        <v>0</v>
      </c>
    </row>
    <row r="73" spans="2:13" x14ac:dyDescent="0.3">
      <c r="B73" s="65" t="s">
        <v>95</v>
      </c>
      <c r="C73" s="66"/>
      <c r="D73" s="122"/>
      <c r="E73" s="122"/>
      <c r="F73" s="122"/>
      <c r="G73" s="122"/>
      <c r="H73" s="122"/>
      <c r="I73" s="142">
        <v>0</v>
      </c>
      <c r="J73" s="136">
        <f>K73/$D$5</f>
        <v>0</v>
      </c>
      <c r="K73" s="136">
        <f>I73*$D$7*$D$5</f>
        <v>0</v>
      </c>
    </row>
    <row r="74" spans="2:13" x14ac:dyDescent="0.3">
      <c r="B74" s="65" t="s">
        <v>96</v>
      </c>
      <c r="C74" s="66"/>
      <c r="D74" s="122"/>
      <c r="E74" s="122"/>
      <c r="F74" s="122"/>
      <c r="G74" s="122"/>
      <c r="H74" s="122"/>
      <c r="I74" s="142">
        <v>1.65</v>
      </c>
      <c r="J74" s="136">
        <f>I74*(D63+D64)</f>
        <v>0</v>
      </c>
      <c r="K74" s="136">
        <f>J74*$D$5</f>
        <v>0</v>
      </c>
    </row>
    <row r="75" spans="2:13" x14ac:dyDescent="0.3">
      <c r="B75" s="65" t="s">
        <v>97</v>
      </c>
      <c r="C75" s="66"/>
      <c r="D75" s="122"/>
      <c r="E75" s="122"/>
      <c r="F75" s="122"/>
      <c r="G75" s="122"/>
      <c r="H75" s="122"/>
      <c r="I75" s="142">
        <v>1.38</v>
      </c>
      <c r="J75" s="136">
        <f>I75*($D$65)*'Price and Yields'!$E$8/'Price and Yields'!$E$6</f>
        <v>0</v>
      </c>
      <c r="K75" s="136">
        <f>J75*$D$5</f>
        <v>0</v>
      </c>
    </row>
    <row r="76" spans="2:13" x14ac:dyDescent="0.3">
      <c r="B76" s="65" t="s">
        <v>98</v>
      </c>
      <c r="C76" s="66"/>
      <c r="D76" s="122"/>
      <c r="E76" s="122"/>
      <c r="F76" s="122"/>
      <c r="G76" s="122"/>
      <c r="H76" s="122"/>
      <c r="I76" s="142">
        <v>0.02</v>
      </c>
      <c r="J76" s="136">
        <f>K76/$D$5</f>
        <v>0</v>
      </c>
      <c r="K76" s="136">
        <f>I76*$D$7*$D$5</f>
        <v>0</v>
      </c>
    </row>
    <row r="77" spans="2:13" x14ac:dyDescent="0.3">
      <c r="B77" s="65" t="s">
        <v>99</v>
      </c>
      <c r="C77" s="66"/>
      <c r="D77" s="122"/>
      <c r="E77" s="122"/>
      <c r="F77" s="122"/>
      <c r="G77" s="122"/>
      <c r="H77" s="122"/>
      <c r="I77" s="143">
        <v>0.05</v>
      </c>
      <c r="J77" s="136">
        <f>K77/$D$5</f>
        <v>0</v>
      </c>
      <c r="K77" s="136">
        <f>I77*$D$7*$D$5</f>
        <v>0</v>
      </c>
    </row>
    <row r="78" spans="2:13" x14ac:dyDescent="0.3">
      <c r="B78" s="65" t="s">
        <v>100</v>
      </c>
      <c r="C78" s="144">
        <v>0.125</v>
      </c>
      <c r="D78" s="122"/>
      <c r="E78" s="122"/>
      <c r="F78" s="122"/>
      <c r="G78" s="122"/>
      <c r="H78" s="122"/>
      <c r="I78" s="72">
        <f>C78*'Price and Yields'!$C$16*'Price and Yields'!$E$8</f>
        <v>1.7868750000000002</v>
      </c>
      <c r="J78" s="73">
        <f>I78*(D63+D64+D65)</f>
        <v>0</v>
      </c>
      <c r="K78" s="136">
        <f>J78*D5</f>
        <v>0</v>
      </c>
    </row>
    <row r="79" spans="2:13" x14ac:dyDescent="0.3">
      <c r="B79" s="74" t="s">
        <v>101</v>
      </c>
      <c r="C79" s="112">
        <v>0.31</v>
      </c>
      <c r="D79" s="124"/>
      <c r="E79" s="124"/>
      <c r="F79" s="124"/>
      <c r="G79" s="124"/>
      <c r="H79" s="124"/>
      <c r="I79" s="81">
        <f>C79</f>
        <v>0.31</v>
      </c>
      <c r="J79" s="82">
        <f>I79*(D63+D64)+I79*(D65*'Price and Yields'!$E$8/'Price and Yields'!$E$6)</f>
        <v>0</v>
      </c>
      <c r="K79" s="145">
        <f>J79*D5</f>
        <v>0</v>
      </c>
    </row>
    <row r="80" spans="2:13" s="40" customFormat="1" x14ac:dyDescent="0.3">
      <c r="B80" s="146" t="s">
        <v>102</v>
      </c>
      <c r="C80" s="147"/>
      <c r="D80" s="148" t="s">
        <v>103</v>
      </c>
      <c r="E80" s="148"/>
      <c r="F80" s="148"/>
      <c r="G80" s="148"/>
      <c r="H80" s="148"/>
      <c r="I80" s="149"/>
      <c r="J80" s="149"/>
      <c r="K80" s="150"/>
    </row>
    <row r="81" spans="2:11" x14ac:dyDescent="0.3">
      <c r="B81" s="56" t="s">
        <v>104</v>
      </c>
      <c r="C81" s="57"/>
      <c r="D81" s="61">
        <v>145</v>
      </c>
      <c r="E81" s="120"/>
      <c r="F81" s="120"/>
      <c r="G81" s="120"/>
      <c r="H81" s="120"/>
      <c r="I81" s="63">
        <f>D81/$D$61</f>
        <v>1.0069444444444444</v>
      </c>
      <c r="J81" s="64">
        <f>I81*($D$63)</f>
        <v>0</v>
      </c>
      <c r="K81" s="131">
        <f>J81*$D$5</f>
        <v>0</v>
      </c>
    </row>
    <row r="82" spans="2:11" x14ac:dyDescent="0.3">
      <c r="B82" s="65" t="s">
        <v>105</v>
      </c>
      <c r="C82" s="66"/>
      <c r="D82" s="70">
        <v>145</v>
      </c>
      <c r="E82" s="122"/>
      <c r="F82" s="122"/>
      <c r="G82" s="122"/>
      <c r="H82" s="122"/>
      <c r="I82" s="72">
        <f>D82/D61</f>
        <v>1.0069444444444444</v>
      </c>
      <c r="J82" s="73">
        <f>I82*($D$64)</f>
        <v>0</v>
      </c>
      <c r="K82" s="136">
        <f>J82*$D$5</f>
        <v>0</v>
      </c>
    </row>
    <row r="83" spans="2:11" x14ac:dyDescent="0.3">
      <c r="B83" s="74" t="s">
        <v>106</v>
      </c>
      <c r="C83" s="75"/>
      <c r="D83" s="79">
        <v>145</v>
      </c>
      <c r="E83" s="124"/>
      <c r="F83" s="124"/>
      <c r="G83" s="124"/>
      <c r="H83" s="124"/>
      <c r="I83" s="81">
        <f>D83/$D$62</f>
        <v>1.4646464646464648</v>
      </c>
      <c r="J83" s="82">
        <f>I83*($D$65)*'Price and Yields'!$E$8/'Price and Yields'!$E$6</f>
        <v>0</v>
      </c>
      <c r="K83" s="145">
        <f>J83*$D$5</f>
        <v>0</v>
      </c>
    </row>
    <row r="84" spans="2:11" x14ac:dyDescent="0.3">
      <c r="B84" s="114" t="s">
        <v>107</v>
      </c>
      <c r="C84" s="115"/>
      <c r="D84" s="116"/>
      <c r="E84" s="116"/>
      <c r="F84" s="116"/>
      <c r="G84" s="116"/>
      <c r="H84" s="116"/>
      <c r="I84" s="117">
        <f>SUM(I69:I83)</f>
        <v>8.6889103535353538</v>
      </c>
      <c r="J84" s="117">
        <f>SUM(J69:J83)</f>
        <v>0</v>
      </c>
      <c r="K84" s="119">
        <f>SUM(K69:K83)</f>
        <v>0</v>
      </c>
    </row>
    <row r="86" spans="2:11" x14ac:dyDescent="0.3">
      <c r="B86" s="114" t="s">
        <v>108</v>
      </c>
      <c r="C86" s="115"/>
      <c r="D86" s="116"/>
      <c r="E86" s="116"/>
      <c r="F86" s="116"/>
      <c r="G86" s="116"/>
      <c r="H86" s="116"/>
      <c r="I86" s="117"/>
      <c r="J86" s="117">
        <f>J84+J58</f>
        <v>7.2756054285714287</v>
      </c>
      <c r="K86" s="119">
        <f>K84+K58</f>
        <v>1018.58476</v>
      </c>
    </row>
    <row r="87" spans="2:11" x14ac:dyDescent="0.3">
      <c r="B87" s="151" t="s">
        <v>109</v>
      </c>
      <c r="C87" s="152"/>
      <c r="D87" s="153"/>
      <c r="E87" s="153"/>
      <c r="F87" s="153"/>
      <c r="G87" s="153"/>
      <c r="H87" s="153"/>
      <c r="I87" s="154"/>
      <c r="J87" s="154">
        <f>J14-J86</f>
        <v>-7.2756054285714287</v>
      </c>
      <c r="K87" s="155">
        <f>K14-K86</f>
        <v>-1018.58476</v>
      </c>
    </row>
    <row r="88" spans="2:11" x14ac:dyDescent="0.3">
      <c r="D88" s="156"/>
      <c r="E88" s="156"/>
      <c r="F88" s="156"/>
      <c r="G88" s="156"/>
      <c r="H88" s="156"/>
    </row>
    <row r="89" spans="2:11" x14ac:dyDescent="0.3">
      <c r="B89" s="29" t="s">
        <v>110</v>
      </c>
      <c r="D89" s="156"/>
      <c r="E89" s="156"/>
      <c r="F89" s="156"/>
      <c r="G89" s="156"/>
      <c r="H89" s="156"/>
    </row>
    <row r="90" spans="2:11" x14ac:dyDescent="0.3">
      <c r="B90" s="29" t="s">
        <v>111</v>
      </c>
    </row>
  </sheetData>
  <sheetProtection password="8D83" sheet="1" objects="1" scenarios="1"/>
  <phoneticPr fontId="8" type="noConversion"/>
  <printOptions gridLinesSet="0"/>
  <pageMargins left="0.75" right="0.75" top="1" bottom="1" header="0.5" footer="0.5"/>
  <pageSetup paperSize="9" scale="49" orientation="portrait" horizontalDpi="300" verticalDpi="300" r:id="rId1"/>
  <headerFooter alignWithMargins="0">
    <oddHeader>&amp;A</oddHeader>
    <oddFoote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0"/>
  <sheetViews>
    <sheetView showGridLines="0" showRowColHeaders="0" zoomScale="75" workbookViewId="0">
      <selection activeCell="Y29" sqref="Y29"/>
    </sheetView>
  </sheetViews>
  <sheetFormatPr defaultColWidth="11.5546875" defaultRowHeight="15.6" x14ac:dyDescent="0.3"/>
  <cols>
    <col min="1" max="1" width="10.33203125" style="29" customWidth="1"/>
    <col min="2" max="2" width="28.109375" style="29" customWidth="1"/>
    <col min="3" max="3" width="24.88671875" style="30" customWidth="1"/>
    <col min="4" max="8" width="16.33203125" style="30" customWidth="1"/>
    <col min="9" max="11" width="16.33203125" style="32" customWidth="1"/>
    <col min="12" max="16384" width="11.5546875" style="29"/>
  </cols>
  <sheetData>
    <row r="1" spans="1:14" ht="24.6" x14ac:dyDescent="0.4">
      <c r="A1" s="28" t="s">
        <v>112</v>
      </c>
      <c r="D1" s="31"/>
    </row>
    <row r="3" spans="1:14" ht="17.399999999999999" x14ac:dyDescent="0.3">
      <c r="A3" s="33" t="s">
        <v>22</v>
      </c>
    </row>
    <row r="4" spans="1:14" ht="17.399999999999999" x14ac:dyDescent="0.3">
      <c r="A4" s="33"/>
    </row>
    <row r="5" spans="1:14" x14ac:dyDescent="0.3">
      <c r="B5" s="29" t="s">
        <v>23</v>
      </c>
      <c r="D5" s="34">
        <f>'Farm Parameters'!D6</f>
        <v>140</v>
      </c>
    </row>
    <row r="6" spans="1:14" ht="6" customHeight="1" x14ac:dyDescent="0.3">
      <c r="D6" s="35"/>
    </row>
    <row r="7" spans="1:14" x14ac:dyDescent="0.3">
      <c r="B7" s="29" t="s">
        <v>24</v>
      </c>
      <c r="D7" s="36">
        <f>'Price and Yields'!C22</f>
        <v>0.5</v>
      </c>
    </row>
    <row r="8" spans="1:14" ht="6" customHeight="1" x14ac:dyDescent="0.3"/>
    <row r="9" spans="1:14" x14ac:dyDescent="0.3">
      <c r="B9" s="29" t="s">
        <v>25</v>
      </c>
      <c r="D9" s="37">
        <f>'Price and Yields'!$C$16</f>
        <v>2.4860869565217394</v>
      </c>
    </row>
    <row r="10" spans="1:14" ht="6" customHeight="1" x14ac:dyDescent="0.3">
      <c r="D10" s="32"/>
    </row>
    <row r="11" spans="1:14" x14ac:dyDescent="0.3">
      <c r="B11" s="29" t="s">
        <v>26</v>
      </c>
      <c r="D11" s="38">
        <v>250</v>
      </c>
    </row>
    <row r="12" spans="1:14" x14ac:dyDescent="0.3">
      <c r="D12" s="39"/>
    </row>
    <row r="13" spans="1:14" s="40" customFormat="1" ht="17.399999999999999" x14ac:dyDescent="0.3">
      <c r="A13" s="33" t="s">
        <v>27</v>
      </c>
      <c r="C13" s="30"/>
      <c r="D13" s="41"/>
      <c r="E13" s="41"/>
      <c r="F13" s="41"/>
      <c r="G13" s="30"/>
      <c r="H13" s="41" t="s">
        <v>28</v>
      </c>
      <c r="I13" s="42" t="s">
        <v>29</v>
      </c>
      <c r="J13" s="42" t="s">
        <v>30</v>
      </c>
      <c r="K13" s="42" t="s">
        <v>31</v>
      </c>
      <c r="L13" s="29"/>
      <c r="M13" s="29"/>
      <c r="N13" s="41" t="s">
        <v>32</v>
      </c>
    </row>
    <row r="14" spans="1:14" s="40" customFormat="1" ht="17.399999999999999" x14ac:dyDescent="0.3">
      <c r="A14" s="33"/>
      <c r="B14" s="40" t="s">
        <v>33</v>
      </c>
      <c r="C14" s="41"/>
      <c r="D14" s="30"/>
      <c r="E14" s="30"/>
      <c r="F14" s="30"/>
      <c r="G14" s="30"/>
      <c r="H14" s="43">
        <f>D7*D5</f>
        <v>70</v>
      </c>
      <c r="I14" s="44">
        <f>IF(ISERROR(J14/D7),0,J14/D7)</f>
        <v>14.295000000000003</v>
      </c>
      <c r="J14" s="44">
        <f>K14/D5</f>
        <v>7.1475000000000017</v>
      </c>
      <c r="K14" s="44">
        <f>H14*D9*'Price and Yields'!$E$8</f>
        <v>1000.6500000000002</v>
      </c>
      <c r="L14" s="29"/>
      <c r="M14" s="29"/>
      <c r="N14" s="41"/>
    </row>
    <row r="15" spans="1:14" ht="6" customHeight="1" x14ac:dyDescent="0.3"/>
    <row r="16" spans="1:14" ht="17.399999999999999" x14ac:dyDescent="0.3">
      <c r="A16" s="45" t="s">
        <v>34</v>
      </c>
    </row>
    <row r="17" spans="1:13" ht="6" customHeight="1" x14ac:dyDescent="0.3">
      <c r="A17" s="45"/>
    </row>
    <row r="18" spans="1:13" s="40" customFormat="1" x14ac:dyDescent="0.3">
      <c r="B18" s="46" t="s">
        <v>35</v>
      </c>
      <c r="C18" s="47"/>
      <c r="D18" s="48" t="s">
        <v>36</v>
      </c>
      <c r="E18" s="48" t="s">
        <v>37</v>
      </c>
      <c r="F18" s="48" t="s">
        <v>38</v>
      </c>
      <c r="G18" s="48" t="s">
        <v>39</v>
      </c>
      <c r="H18" s="48" t="s">
        <v>40</v>
      </c>
      <c r="I18" s="49"/>
      <c r="J18" s="49" t="s">
        <v>30</v>
      </c>
      <c r="K18" s="50" t="s">
        <v>31</v>
      </c>
      <c r="L18" s="29"/>
      <c r="M18" s="29"/>
    </row>
    <row r="19" spans="1:13" x14ac:dyDescent="0.3">
      <c r="B19" s="51" t="s">
        <v>41</v>
      </c>
      <c r="C19" s="52"/>
      <c r="D19" s="53"/>
      <c r="E19" s="53"/>
      <c r="F19" s="53"/>
      <c r="G19" s="53"/>
      <c r="H19" s="53"/>
      <c r="I19" s="54"/>
      <c r="J19" s="54"/>
      <c r="K19" s="55"/>
    </row>
    <row r="20" spans="1:13" x14ac:dyDescent="0.3">
      <c r="B20" s="56" t="s">
        <v>42</v>
      </c>
      <c r="C20" s="57"/>
      <c r="D20" s="58">
        <v>5</v>
      </c>
      <c r="E20" s="59" t="s">
        <v>43</v>
      </c>
      <c r="F20" s="60" t="s">
        <v>44</v>
      </c>
      <c r="G20" s="58">
        <v>1</v>
      </c>
      <c r="H20" s="274">
        <f>'Year 1'!$H$20</f>
        <v>1.65</v>
      </c>
      <c r="I20" s="62"/>
      <c r="J20" s="63">
        <f>K20/$D$5</f>
        <v>5.8928571428571427E-2</v>
      </c>
      <c r="K20" s="64">
        <f>H20*G20*D20</f>
        <v>8.25</v>
      </c>
    </row>
    <row r="21" spans="1:13" x14ac:dyDescent="0.3">
      <c r="B21" s="65" t="s">
        <v>45</v>
      </c>
      <c r="C21" s="66"/>
      <c r="D21" s="67">
        <v>18</v>
      </c>
      <c r="E21" s="68" t="s">
        <v>43</v>
      </c>
      <c r="F21" s="69" t="s">
        <v>44</v>
      </c>
      <c r="G21" s="67">
        <v>0.4</v>
      </c>
      <c r="H21" s="275">
        <f>'Year 1'!$H$21</f>
        <v>3</v>
      </c>
      <c r="I21" s="71"/>
      <c r="J21" s="72">
        <f>K21/$D$5</f>
        <v>0.1542857142857143</v>
      </c>
      <c r="K21" s="73">
        <f>H21*G21*D21</f>
        <v>21.6</v>
      </c>
    </row>
    <row r="22" spans="1:13" x14ac:dyDescent="0.3">
      <c r="B22" s="74" t="s">
        <v>46</v>
      </c>
      <c r="C22" s="75"/>
      <c r="D22" s="76">
        <v>6</v>
      </c>
      <c r="E22" s="77" t="s">
        <v>43</v>
      </c>
      <c r="F22" s="78" t="s">
        <v>44</v>
      </c>
      <c r="G22" s="76">
        <v>0.4</v>
      </c>
      <c r="H22" s="276">
        <f>'Year 1'!$H$22</f>
        <v>1.65</v>
      </c>
      <c r="I22" s="80"/>
      <c r="J22" s="81">
        <f>K22/$D$5</f>
        <v>2.8285714285714286E-2</v>
      </c>
      <c r="K22" s="82">
        <f>H22*G22*D22</f>
        <v>3.96</v>
      </c>
    </row>
    <row r="23" spans="1:13" x14ac:dyDescent="0.3">
      <c r="B23" s="83" t="s">
        <v>47</v>
      </c>
      <c r="C23" s="84"/>
      <c r="D23" s="85"/>
      <c r="E23" s="85"/>
      <c r="F23" s="85"/>
      <c r="G23" s="85"/>
      <c r="H23" s="86"/>
      <c r="I23" s="87"/>
      <c r="J23" s="87"/>
      <c r="K23" s="88">
        <f>SUM(K20:K22)</f>
        <v>33.81</v>
      </c>
    </row>
    <row r="24" spans="1:13" x14ac:dyDescent="0.3">
      <c r="B24" s="51" t="s">
        <v>48</v>
      </c>
      <c r="C24" s="52"/>
      <c r="D24" s="53"/>
      <c r="E24" s="53"/>
      <c r="F24" s="53"/>
      <c r="G24" s="53"/>
      <c r="H24" s="89"/>
      <c r="I24" s="54"/>
      <c r="J24" s="54"/>
      <c r="K24" s="55"/>
    </row>
    <row r="25" spans="1:13" x14ac:dyDescent="0.3">
      <c r="B25" s="56" t="s">
        <v>49</v>
      </c>
      <c r="C25" s="57"/>
      <c r="D25" s="58">
        <v>0</v>
      </c>
      <c r="E25" s="59" t="s">
        <v>43</v>
      </c>
      <c r="F25" s="58">
        <v>0.5</v>
      </c>
      <c r="G25" s="90">
        <f>F25*$D$5</f>
        <v>70</v>
      </c>
      <c r="H25" s="274">
        <f>'Farm Parameters'!$D$10</f>
        <v>11</v>
      </c>
      <c r="I25" s="62"/>
      <c r="J25" s="63">
        <f>K25/$D$5</f>
        <v>0</v>
      </c>
      <c r="K25" s="64">
        <f>H25*G25*D25</f>
        <v>0</v>
      </c>
    </row>
    <row r="26" spans="1:13" x14ac:dyDescent="0.3">
      <c r="B26" s="65" t="s">
        <v>50</v>
      </c>
      <c r="C26" s="66"/>
      <c r="D26" s="67">
        <v>0</v>
      </c>
      <c r="E26" s="68" t="s">
        <v>43</v>
      </c>
      <c r="F26" s="67">
        <v>0.5</v>
      </c>
      <c r="G26" s="91">
        <f>F26*$D$5</f>
        <v>70</v>
      </c>
      <c r="H26" s="275">
        <f>H25</f>
        <v>11</v>
      </c>
      <c r="I26" s="71"/>
      <c r="J26" s="72">
        <f>K26/$D$5</f>
        <v>0</v>
      </c>
      <c r="K26" s="73">
        <f>H26*G26*D26</f>
        <v>0</v>
      </c>
    </row>
    <row r="27" spans="1:13" x14ac:dyDescent="0.3">
      <c r="B27" s="74" t="s">
        <v>51</v>
      </c>
      <c r="C27" s="75"/>
      <c r="D27" s="76">
        <v>0</v>
      </c>
      <c r="E27" s="77" t="s">
        <v>43</v>
      </c>
      <c r="F27" s="76">
        <v>0.5</v>
      </c>
      <c r="G27" s="92">
        <f>F27*$D$5</f>
        <v>70</v>
      </c>
      <c r="H27" s="276">
        <f>H25</f>
        <v>11</v>
      </c>
      <c r="I27" s="80"/>
      <c r="J27" s="81">
        <f>K27/$D$5</f>
        <v>0</v>
      </c>
      <c r="K27" s="82">
        <f>H27*G27*D27</f>
        <v>0</v>
      </c>
    </row>
    <row r="28" spans="1:13" x14ac:dyDescent="0.3">
      <c r="B28" s="83" t="s">
        <v>47</v>
      </c>
      <c r="C28" s="84"/>
      <c r="D28" s="85"/>
      <c r="E28" s="85"/>
      <c r="F28" s="85"/>
      <c r="G28" s="85"/>
      <c r="H28" s="86"/>
      <c r="I28" s="87"/>
      <c r="J28" s="87"/>
      <c r="K28" s="88">
        <f>SUM(K25:K27)</f>
        <v>0</v>
      </c>
    </row>
    <row r="29" spans="1:13" x14ac:dyDescent="0.3">
      <c r="B29" s="51" t="s">
        <v>46</v>
      </c>
      <c r="C29" s="52"/>
      <c r="D29" s="53"/>
      <c r="E29" s="53"/>
      <c r="F29" s="53"/>
      <c r="G29" s="93"/>
      <c r="H29" s="277"/>
      <c r="I29" s="54"/>
      <c r="J29" s="54"/>
      <c r="K29" s="55"/>
    </row>
    <row r="30" spans="1:13" x14ac:dyDescent="0.3">
      <c r="B30" s="56" t="s">
        <v>52</v>
      </c>
      <c r="C30" s="57"/>
      <c r="D30" s="58">
        <v>2</v>
      </c>
      <c r="E30" s="59" t="s">
        <v>53</v>
      </c>
      <c r="F30" s="278">
        <v>0.03</v>
      </c>
      <c r="G30" s="279">
        <f t="shared" ref="G30:G37" si="0">F30*$D$5</f>
        <v>4.2</v>
      </c>
      <c r="H30" s="274">
        <f>'Year 1'!$H$30</f>
        <v>0.47</v>
      </c>
      <c r="I30" s="62"/>
      <c r="J30" s="64">
        <f t="shared" ref="J30:J37" si="1">K30/$D$5</f>
        <v>2.8199999999999999E-2</v>
      </c>
      <c r="K30" s="64">
        <f t="shared" ref="K30:K37" si="2">H30*G30*D30</f>
        <v>3.948</v>
      </c>
    </row>
    <row r="31" spans="1:13" x14ac:dyDescent="0.3">
      <c r="B31" s="65" t="s">
        <v>54</v>
      </c>
      <c r="C31" s="66"/>
      <c r="D31" s="67">
        <v>3</v>
      </c>
      <c r="E31" s="68" t="s">
        <v>53</v>
      </c>
      <c r="F31" s="280">
        <v>0.13</v>
      </c>
      <c r="G31" s="281">
        <f t="shared" si="0"/>
        <v>18.2</v>
      </c>
      <c r="H31" s="275">
        <f>'Year 1'!$H$31</f>
        <v>0.53</v>
      </c>
      <c r="I31" s="71"/>
      <c r="J31" s="73">
        <f t="shared" si="1"/>
        <v>0.20670000000000002</v>
      </c>
      <c r="K31" s="73">
        <f t="shared" si="2"/>
        <v>28.938000000000002</v>
      </c>
    </row>
    <row r="32" spans="1:13" x14ac:dyDescent="0.3">
      <c r="B32" s="65" t="s">
        <v>55</v>
      </c>
      <c r="C32" s="66"/>
      <c r="D32" s="67">
        <v>1</v>
      </c>
      <c r="E32" s="68" t="s">
        <v>56</v>
      </c>
      <c r="F32" s="280">
        <v>8</v>
      </c>
      <c r="G32" s="281">
        <f t="shared" si="0"/>
        <v>1120</v>
      </c>
      <c r="H32" s="275">
        <f>'Year 1'!$H$32</f>
        <v>3.0000000000000001E-3</v>
      </c>
      <c r="I32" s="71"/>
      <c r="J32" s="73">
        <f t="shared" si="1"/>
        <v>2.4E-2</v>
      </c>
      <c r="K32" s="73">
        <f t="shared" si="2"/>
        <v>3.36</v>
      </c>
    </row>
    <row r="33" spans="2:11" x14ac:dyDescent="0.3">
      <c r="B33" s="65" t="s">
        <v>57</v>
      </c>
      <c r="C33" s="66"/>
      <c r="D33" s="67">
        <v>0</v>
      </c>
      <c r="E33" s="68" t="s">
        <v>58</v>
      </c>
      <c r="F33" s="280">
        <v>0.05</v>
      </c>
      <c r="G33" s="281">
        <f t="shared" si="0"/>
        <v>7</v>
      </c>
      <c r="H33" s="275">
        <f>'Year 1'!$H$33</f>
        <v>1.5</v>
      </c>
      <c r="I33" s="71"/>
      <c r="J33" s="73">
        <f t="shared" si="1"/>
        <v>0</v>
      </c>
      <c r="K33" s="73">
        <f t="shared" si="2"/>
        <v>0</v>
      </c>
    </row>
    <row r="34" spans="2:11" x14ac:dyDescent="0.3">
      <c r="B34" s="65" t="s">
        <v>59</v>
      </c>
      <c r="C34" s="66"/>
      <c r="D34" s="67">
        <v>0</v>
      </c>
      <c r="E34" s="68" t="s">
        <v>53</v>
      </c>
      <c r="F34" s="280">
        <v>0.05</v>
      </c>
      <c r="G34" s="281">
        <f t="shared" si="0"/>
        <v>7</v>
      </c>
      <c r="H34" s="275">
        <f>'Year 1'!$H$34</f>
        <v>0.88</v>
      </c>
      <c r="I34" s="71"/>
      <c r="J34" s="73">
        <f t="shared" si="1"/>
        <v>0</v>
      </c>
      <c r="K34" s="73">
        <f t="shared" si="2"/>
        <v>0</v>
      </c>
    </row>
    <row r="35" spans="2:11" x14ac:dyDescent="0.3">
      <c r="B35" s="65" t="s">
        <v>60</v>
      </c>
      <c r="C35" s="66"/>
      <c r="D35" s="67">
        <v>1</v>
      </c>
      <c r="E35" s="68" t="s">
        <v>53</v>
      </c>
      <c r="F35" s="280">
        <v>2.5000000000000001E-2</v>
      </c>
      <c r="G35" s="281">
        <f t="shared" si="0"/>
        <v>3.5</v>
      </c>
      <c r="H35" s="275">
        <f>'Year 1'!$H$35</f>
        <v>1</v>
      </c>
      <c r="I35" s="71"/>
      <c r="J35" s="73">
        <f t="shared" si="1"/>
        <v>2.5000000000000001E-2</v>
      </c>
      <c r="K35" s="73">
        <f t="shared" si="2"/>
        <v>3.5</v>
      </c>
    </row>
    <row r="36" spans="2:11" x14ac:dyDescent="0.3">
      <c r="B36" s="65" t="s">
        <v>61</v>
      </c>
      <c r="C36" s="66"/>
      <c r="D36" s="67">
        <v>2</v>
      </c>
      <c r="E36" s="68" t="s">
        <v>53</v>
      </c>
      <c r="F36" s="280">
        <v>0.01</v>
      </c>
      <c r="G36" s="281">
        <f t="shared" si="0"/>
        <v>1.4000000000000001</v>
      </c>
      <c r="H36" s="275">
        <f>'Year 1'!$H$36</f>
        <v>2.7792000000000003</v>
      </c>
      <c r="I36" s="71"/>
      <c r="J36" s="73">
        <f t="shared" si="1"/>
        <v>5.5584000000000015E-2</v>
      </c>
      <c r="K36" s="73">
        <f t="shared" si="2"/>
        <v>7.781760000000002</v>
      </c>
    </row>
    <row r="37" spans="2:11" x14ac:dyDescent="0.3">
      <c r="B37" s="74" t="s">
        <v>62</v>
      </c>
      <c r="C37" s="75"/>
      <c r="D37" s="76">
        <v>1</v>
      </c>
      <c r="E37" s="68" t="s">
        <v>53</v>
      </c>
      <c r="F37" s="282">
        <v>0.1</v>
      </c>
      <c r="G37" s="283">
        <f t="shared" si="0"/>
        <v>14</v>
      </c>
      <c r="H37" s="276">
        <f>'Year 1'!$H$37</f>
        <v>0.14000000000000001</v>
      </c>
      <c r="I37" s="80"/>
      <c r="J37" s="82">
        <f t="shared" si="1"/>
        <v>1.4000000000000002E-2</v>
      </c>
      <c r="K37" s="82">
        <f t="shared" si="2"/>
        <v>1.9600000000000002</v>
      </c>
    </row>
    <row r="38" spans="2:11" x14ac:dyDescent="0.3">
      <c r="B38" s="83" t="s">
        <v>47</v>
      </c>
      <c r="C38" s="84"/>
      <c r="D38" s="85"/>
      <c r="E38" s="85"/>
      <c r="F38" s="85"/>
      <c r="G38" s="102"/>
      <c r="H38" s="284"/>
      <c r="I38" s="87"/>
      <c r="J38" s="87"/>
      <c r="K38" s="88">
        <f>SUM(K30:K37)</f>
        <v>49.487760000000002</v>
      </c>
    </row>
    <row r="39" spans="2:11" x14ac:dyDescent="0.3">
      <c r="B39" s="51" t="s">
        <v>63</v>
      </c>
      <c r="C39" s="52"/>
      <c r="D39" s="53"/>
      <c r="E39" s="53"/>
      <c r="F39" s="53"/>
      <c r="G39" s="53"/>
      <c r="H39" s="277"/>
      <c r="I39" s="54"/>
      <c r="J39" s="54"/>
      <c r="K39" s="55"/>
    </row>
    <row r="40" spans="2:11" x14ac:dyDescent="0.3">
      <c r="B40" s="56" t="s">
        <v>64</v>
      </c>
      <c r="C40" s="57"/>
      <c r="D40" s="58">
        <v>5</v>
      </c>
      <c r="E40" s="59" t="s">
        <v>56</v>
      </c>
      <c r="F40" s="285">
        <v>5.0000000000000001E-3</v>
      </c>
      <c r="G40" s="286">
        <f>F40*$D$5</f>
        <v>0.70000000000000007</v>
      </c>
      <c r="H40" s="274">
        <f>'Year 1'!$H$40</f>
        <v>9.75</v>
      </c>
      <c r="I40" s="62"/>
      <c r="J40" s="63">
        <f>K40/$D$5</f>
        <v>0.24375000000000005</v>
      </c>
      <c r="K40" s="64">
        <f>H40*G40*D40</f>
        <v>34.125000000000007</v>
      </c>
    </row>
    <row r="41" spans="2:11" x14ac:dyDescent="0.3">
      <c r="B41" s="96" t="s">
        <v>65</v>
      </c>
      <c r="C41" s="66"/>
      <c r="D41" s="67">
        <v>0</v>
      </c>
      <c r="E41" s="68" t="s">
        <v>56</v>
      </c>
      <c r="F41" s="287">
        <v>0</v>
      </c>
      <c r="G41" s="288">
        <f>F41*$D$5</f>
        <v>0</v>
      </c>
      <c r="H41" s="275">
        <f>'Year 1'!$H$41</f>
        <v>0</v>
      </c>
      <c r="I41" s="71"/>
      <c r="J41" s="72">
        <f>K41/$D$5</f>
        <v>0</v>
      </c>
      <c r="K41" s="73">
        <f>H41*G41*D41</f>
        <v>0</v>
      </c>
    </row>
    <row r="42" spans="2:11" x14ac:dyDescent="0.3">
      <c r="B42" s="99" t="s">
        <v>65</v>
      </c>
      <c r="C42" s="75"/>
      <c r="D42" s="76">
        <v>0</v>
      </c>
      <c r="E42" s="77" t="s">
        <v>56</v>
      </c>
      <c r="F42" s="289">
        <v>0</v>
      </c>
      <c r="G42" s="290">
        <f>F42*$D$5</f>
        <v>0</v>
      </c>
      <c r="H42" s="276">
        <f>'Year 1'!$H$42</f>
        <v>0</v>
      </c>
      <c r="I42" s="80"/>
      <c r="J42" s="81">
        <f>K42/$D$5</f>
        <v>0</v>
      </c>
      <c r="K42" s="82">
        <f>H42*G42*D42</f>
        <v>0</v>
      </c>
    </row>
    <row r="43" spans="2:11" x14ac:dyDescent="0.3">
      <c r="B43" s="83" t="s">
        <v>47</v>
      </c>
      <c r="C43" s="84"/>
      <c r="D43" s="85"/>
      <c r="E43" s="85"/>
      <c r="F43" s="85"/>
      <c r="G43" s="85"/>
      <c r="H43" s="284"/>
      <c r="I43" s="87"/>
      <c r="J43" s="87"/>
      <c r="K43" s="88">
        <f>SUM(K40:K42)</f>
        <v>34.125000000000007</v>
      </c>
    </row>
    <row r="44" spans="2:11" s="40" customFormat="1" x14ac:dyDescent="0.3">
      <c r="B44" s="51" t="s">
        <v>66</v>
      </c>
      <c r="C44" s="52"/>
      <c r="D44" s="53"/>
      <c r="E44" s="53"/>
      <c r="F44" s="53"/>
      <c r="G44" s="53"/>
      <c r="H44" s="89"/>
      <c r="I44" s="54"/>
      <c r="J44" s="54"/>
      <c r="K44" s="55"/>
    </row>
    <row r="45" spans="2:11" x14ac:dyDescent="0.3">
      <c r="B45" s="65" t="s">
        <v>68</v>
      </c>
      <c r="C45" s="291"/>
      <c r="D45" s="67">
        <v>3</v>
      </c>
      <c r="E45" s="68" t="s">
        <v>56</v>
      </c>
      <c r="F45" s="104">
        <f>IF(D45=0,0,$D$11/100*'Year 1'!$C45/$D$5)</f>
        <v>2.6785714285714286E-3</v>
      </c>
      <c r="G45" s="69">
        <f>F45*$D$5</f>
        <v>0.375</v>
      </c>
      <c r="H45" s="275">
        <f>'Year 1'!$H$45</f>
        <v>7.65</v>
      </c>
      <c r="I45" s="71"/>
      <c r="J45" s="73">
        <f>K45/$D$5</f>
        <v>6.1473214285714291E-2</v>
      </c>
      <c r="K45" s="73">
        <f>H45*G45*D45</f>
        <v>8.6062500000000011</v>
      </c>
    </row>
    <row r="46" spans="2:11" x14ac:dyDescent="0.3">
      <c r="B46" s="65" t="s">
        <v>69</v>
      </c>
      <c r="C46" s="291"/>
      <c r="D46" s="67">
        <v>0</v>
      </c>
      <c r="E46" s="68" t="s">
        <v>56</v>
      </c>
      <c r="F46" s="104">
        <f>IF(D46=0,0,$D$11/100*'Year 1'!$C46/$D$5)</f>
        <v>0</v>
      </c>
      <c r="G46" s="69">
        <f>F46*$D$5</f>
        <v>0</v>
      </c>
      <c r="H46" s="275">
        <f>'Year 1'!$H$46</f>
        <v>17.82</v>
      </c>
      <c r="I46" s="71"/>
      <c r="J46" s="73">
        <f>K46/$D$5</f>
        <v>0</v>
      </c>
      <c r="K46" s="73">
        <f>H46*G46*D46</f>
        <v>0</v>
      </c>
    </row>
    <row r="47" spans="2:11" x14ac:dyDescent="0.3">
      <c r="B47" s="65" t="s">
        <v>70</v>
      </c>
      <c r="C47" s="291"/>
      <c r="D47" s="67">
        <v>2</v>
      </c>
      <c r="E47" s="68" t="s">
        <v>56</v>
      </c>
      <c r="F47" s="104">
        <f>IF(D47=0,0,$D$11/100*'Year 1'!$C47/$D$5)</f>
        <v>6.7857142857142855E-4</v>
      </c>
      <c r="G47" s="69">
        <f>F47*$D$5</f>
        <v>9.5000000000000001E-2</v>
      </c>
      <c r="H47" s="275">
        <f>'Year 1'!$H$47</f>
        <v>82.72</v>
      </c>
      <c r="I47" s="71"/>
      <c r="J47" s="73">
        <f>K47/$D$5</f>
        <v>0.11226285714285714</v>
      </c>
      <c r="K47" s="73">
        <f>H47*G47*D47</f>
        <v>15.716799999999999</v>
      </c>
    </row>
    <row r="48" spans="2:11" x14ac:dyDescent="0.3">
      <c r="B48" s="65" t="s">
        <v>71</v>
      </c>
      <c r="C48" s="291"/>
      <c r="D48" s="76">
        <v>3</v>
      </c>
      <c r="E48" s="77" t="s">
        <v>56</v>
      </c>
      <c r="F48" s="104">
        <f>IF(D48=0,0,$D$11/100*'Year 1'!$C48/$D$5)</f>
        <v>1.3392857142857143E-3</v>
      </c>
      <c r="G48" s="78">
        <f>F48*$D$5</f>
        <v>0.1875</v>
      </c>
      <c r="H48" s="275">
        <f>'Year 1'!$H$48</f>
        <v>8.1999999999999993</v>
      </c>
      <c r="I48" s="80"/>
      <c r="J48" s="82">
        <f>K48/$D$5</f>
        <v>3.2946428571428571E-2</v>
      </c>
      <c r="K48" s="82">
        <f>H48*G48*D48</f>
        <v>4.6124999999999998</v>
      </c>
    </row>
    <row r="49" spans="2:11" x14ac:dyDescent="0.3">
      <c r="B49" s="83" t="s">
        <v>47</v>
      </c>
      <c r="C49" s="84"/>
      <c r="D49" s="85"/>
      <c r="E49" s="85"/>
      <c r="F49" s="85"/>
      <c r="G49" s="85"/>
      <c r="H49" s="86"/>
      <c r="I49" s="87"/>
      <c r="J49" s="87"/>
      <c r="K49" s="88">
        <f>SUM(K45:K48)</f>
        <v>28.935550000000003</v>
      </c>
    </row>
    <row r="50" spans="2:11" x14ac:dyDescent="0.3">
      <c r="B50" s="292" t="s">
        <v>72</v>
      </c>
      <c r="C50" s="293"/>
      <c r="D50" s="53"/>
      <c r="E50" s="53"/>
      <c r="F50" s="53"/>
      <c r="G50" s="53"/>
      <c r="H50" s="277"/>
      <c r="I50" s="54"/>
      <c r="J50" s="54"/>
      <c r="K50" s="55"/>
    </row>
    <row r="51" spans="2:11" x14ac:dyDescent="0.3">
      <c r="B51" s="56" t="s">
        <v>73</v>
      </c>
      <c r="C51" s="294"/>
      <c r="D51" s="295">
        <v>11</v>
      </c>
      <c r="E51" s="68" t="s">
        <v>53</v>
      </c>
      <c r="F51" s="104">
        <f>IF(D51=0,0,$D$11/100*'Year 1'!$C51/$D$5)</f>
        <v>3.5714285714285713E-3</v>
      </c>
      <c r="G51" s="286">
        <f>F51*$D$5</f>
        <v>0.5</v>
      </c>
      <c r="H51" s="274">
        <f>'Year 1'!$H$51</f>
        <v>6.33</v>
      </c>
      <c r="I51" s="62"/>
      <c r="J51" s="63">
        <f>K51/$D$5</f>
        <v>0.24867857142857142</v>
      </c>
      <c r="K51" s="64">
        <f>H51*G51*D51</f>
        <v>34.814999999999998</v>
      </c>
    </row>
    <row r="52" spans="2:11" x14ac:dyDescent="0.3">
      <c r="B52" s="96" t="s">
        <v>74</v>
      </c>
      <c r="C52" s="296"/>
      <c r="D52" s="297">
        <v>0</v>
      </c>
      <c r="E52" s="68" t="s">
        <v>56</v>
      </c>
      <c r="F52" s="298">
        <v>0</v>
      </c>
      <c r="G52" s="288">
        <f>F52*$D$5</f>
        <v>0</v>
      </c>
      <c r="H52" s="275">
        <f>'Year 1'!$H$52</f>
        <v>2.2000000000000002</v>
      </c>
      <c r="I52" s="71"/>
      <c r="J52" s="72">
        <f>K52/$D$5</f>
        <v>0</v>
      </c>
      <c r="K52" s="73">
        <f>H52*G52*D52</f>
        <v>0</v>
      </c>
    </row>
    <row r="53" spans="2:11" x14ac:dyDescent="0.3">
      <c r="B53" s="99" t="s">
        <v>65</v>
      </c>
      <c r="C53" s="299"/>
      <c r="D53" s="300">
        <v>0</v>
      </c>
      <c r="E53" s="68" t="s">
        <v>53</v>
      </c>
      <c r="F53" s="104">
        <f>IF(D53=0,0,$D$11/100*'Year 1'!$C53/$D$5)</f>
        <v>0</v>
      </c>
      <c r="G53" s="290">
        <f>F53*$D$5</f>
        <v>0</v>
      </c>
      <c r="H53" s="276">
        <f>'Year 1'!$H$53</f>
        <v>0</v>
      </c>
      <c r="I53" s="80"/>
      <c r="J53" s="81">
        <f>K53/$D$5</f>
        <v>0</v>
      </c>
      <c r="K53" s="82">
        <f>H53*G53*D53</f>
        <v>0</v>
      </c>
    </row>
    <row r="54" spans="2:11" x14ac:dyDescent="0.3">
      <c r="B54" s="301" t="s">
        <v>47</v>
      </c>
      <c r="C54" s="302"/>
      <c r="D54" s="85"/>
      <c r="E54" s="85"/>
      <c r="F54" s="85"/>
      <c r="G54" s="85"/>
      <c r="H54" s="284"/>
      <c r="I54" s="87"/>
      <c r="J54" s="87"/>
      <c r="K54" s="88">
        <f>SUM(K51:K53)</f>
        <v>34.814999999999998</v>
      </c>
    </row>
    <row r="55" spans="2:11" x14ac:dyDescent="0.3">
      <c r="B55" s="51" t="s">
        <v>65</v>
      </c>
      <c r="C55" s="52"/>
      <c r="D55" s="53"/>
      <c r="E55" s="53"/>
      <c r="F55" s="53"/>
      <c r="G55" s="53"/>
      <c r="H55" s="277"/>
      <c r="I55" s="54"/>
      <c r="J55" s="54"/>
      <c r="K55" s="55"/>
    </row>
    <row r="56" spans="2:11" x14ac:dyDescent="0.3">
      <c r="B56" s="56" t="s">
        <v>75</v>
      </c>
      <c r="C56" s="57"/>
      <c r="D56" s="60" t="s">
        <v>44</v>
      </c>
      <c r="E56" s="59" t="s">
        <v>76</v>
      </c>
      <c r="F56" s="60" t="s">
        <v>44</v>
      </c>
      <c r="G56" s="303">
        <v>1.365</v>
      </c>
      <c r="H56" s="274">
        <f>'Year 1'!$H$56</f>
        <v>30</v>
      </c>
      <c r="I56" s="62"/>
      <c r="J56" s="63">
        <f>K56/$D$5</f>
        <v>0.29250000000000004</v>
      </c>
      <c r="K56" s="64">
        <f>H56*G56</f>
        <v>40.950000000000003</v>
      </c>
    </row>
    <row r="57" spans="2:11" x14ac:dyDescent="0.3">
      <c r="B57" s="99" t="s">
        <v>77</v>
      </c>
      <c r="C57" s="75"/>
      <c r="D57" s="78" t="s">
        <v>44</v>
      </c>
      <c r="E57" s="77" t="s">
        <v>43</v>
      </c>
      <c r="F57" s="78" t="s">
        <v>44</v>
      </c>
      <c r="G57" s="304">
        <v>0</v>
      </c>
      <c r="H57" s="276">
        <f>'Year 1'!$H$57</f>
        <v>11</v>
      </c>
      <c r="I57" s="80"/>
      <c r="J57" s="81">
        <f>K57/$D$5</f>
        <v>0</v>
      </c>
      <c r="K57" s="82">
        <f>H57*G57</f>
        <v>0</v>
      </c>
    </row>
    <row r="58" spans="2:11" x14ac:dyDescent="0.3">
      <c r="B58" s="114" t="s">
        <v>78</v>
      </c>
      <c r="C58" s="115"/>
      <c r="D58" s="116"/>
      <c r="E58" s="116"/>
      <c r="F58" s="116"/>
      <c r="G58" s="116"/>
      <c r="H58" s="153"/>
      <c r="I58" s="117"/>
      <c r="J58" s="117">
        <f>SUM(J20:J57)</f>
        <v>1.5865950714285715</v>
      </c>
      <c r="K58" s="118">
        <f>K57+K56+K54+K49+K43+K38+K28+K23</f>
        <v>222.12331000000003</v>
      </c>
    </row>
    <row r="59" spans="2:11" x14ac:dyDescent="0.3">
      <c r="C59" s="29"/>
      <c r="D59" s="29"/>
      <c r="E59" s="29"/>
      <c r="F59" s="29"/>
      <c r="G59" s="29"/>
      <c r="H59" s="29"/>
      <c r="I59" s="29"/>
      <c r="J59" s="29"/>
      <c r="K59" s="29"/>
    </row>
    <row r="60" spans="2:11" x14ac:dyDescent="0.3">
      <c r="B60" s="114" t="s">
        <v>79</v>
      </c>
      <c r="C60" s="115"/>
      <c r="D60" s="116"/>
      <c r="E60" s="116"/>
      <c r="F60" s="116"/>
      <c r="G60" s="116"/>
      <c r="H60" s="116"/>
      <c r="I60" s="117"/>
      <c r="J60" s="117"/>
      <c r="K60" s="119"/>
    </row>
    <row r="61" spans="2:11" x14ac:dyDescent="0.3">
      <c r="B61" s="56" t="s">
        <v>80</v>
      </c>
      <c r="C61" s="57"/>
      <c r="D61" s="58">
        <v>144</v>
      </c>
      <c r="E61" s="120"/>
      <c r="F61" s="120"/>
      <c r="G61" s="120"/>
      <c r="H61" s="120"/>
      <c r="I61" s="62"/>
      <c r="J61" s="62"/>
      <c r="K61" s="121"/>
    </row>
    <row r="62" spans="2:11" x14ac:dyDescent="0.3">
      <c r="B62" s="65" t="s">
        <v>81</v>
      </c>
      <c r="C62" s="66"/>
      <c r="D62" s="76">
        <v>99</v>
      </c>
      <c r="E62" s="122"/>
      <c r="F62" s="122"/>
      <c r="G62" s="122"/>
      <c r="H62" s="122"/>
      <c r="I62" s="71"/>
      <c r="J62" s="71"/>
      <c r="K62" s="123"/>
    </row>
    <row r="63" spans="2:11" x14ac:dyDescent="0.3">
      <c r="B63" s="65" t="s">
        <v>82</v>
      </c>
      <c r="C63" s="66"/>
      <c r="D63" s="69">
        <f>'Price and Yields'!$E$11*'Year 2'!$D$7</f>
        <v>0.4</v>
      </c>
      <c r="E63" s="122" t="s">
        <v>83</v>
      </c>
      <c r="F63" s="122"/>
      <c r="G63" s="122"/>
      <c r="H63" s="122"/>
      <c r="I63" s="71"/>
      <c r="J63" s="71"/>
      <c r="K63" s="123"/>
    </row>
    <row r="64" spans="2:11" x14ac:dyDescent="0.3">
      <c r="B64" s="65" t="s">
        <v>84</v>
      </c>
      <c r="C64" s="66"/>
      <c r="D64" s="69">
        <f>'Price and Yields'!$E$12*'Year 2'!$D$7</f>
        <v>0</v>
      </c>
      <c r="E64" s="122" t="s">
        <v>83</v>
      </c>
      <c r="F64" s="122"/>
      <c r="G64" s="122"/>
      <c r="H64" s="122"/>
      <c r="I64" s="71"/>
      <c r="J64" s="71"/>
      <c r="K64" s="123"/>
    </row>
    <row r="65" spans="2:13" x14ac:dyDescent="0.3">
      <c r="B65" s="65" t="s">
        <v>85</v>
      </c>
      <c r="C65" s="66"/>
      <c r="D65" s="69">
        <f>'Price and Yields'!$E$13*'Year 2'!$D$7</f>
        <v>0.1</v>
      </c>
      <c r="E65" s="122" t="s">
        <v>83</v>
      </c>
      <c r="F65" s="122"/>
      <c r="G65" s="122"/>
      <c r="H65" s="122"/>
      <c r="I65" s="71"/>
      <c r="J65" s="71"/>
      <c r="K65" s="123"/>
    </row>
    <row r="66" spans="2:13" x14ac:dyDescent="0.3">
      <c r="B66" s="74" t="s">
        <v>86</v>
      </c>
      <c r="C66" s="75"/>
      <c r="D66" s="78">
        <f>'Price and Yields'!E14*'Year 2'!D7</f>
        <v>0</v>
      </c>
      <c r="E66" s="124" t="s">
        <v>83</v>
      </c>
      <c r="F66" s="124"/>
      <c r="G66" s="124"/>
      <c r="H66" s="124"/>
      <c r="I66" s="80"/>
      <c r="J66" s="80"/>
      <c r="K66" s="125"/>
    </row>
    <row r="67" spans="2:13" x14ac:dyDescent="0.3">
      <c r="B67" s="51"/>
      <c r="C67" s="52"/>
      <c r="D67" s="126"/>
      <c r="E67" s="53"/>
      <c r="F67" s="53"/>
      <c r="G67" s="53"/>
      <c r="H67" s="53"/>
      <c r="I67" s="54"/>
      <c r="J67" s="54"/>
      <c r="K67" s="55"/>
    </row>
    <row r="68" spans="2:13" s="40" customFormat="1" ht="15.75" customHeight="1" x14ac:dyDescent="0.3">
      <c r="B68" s="114" t="s">
        <v>87</v>
      </c>
      <c r="C68" s="47"/>
      <c r="D68" s="48" t="s">
        <v>88</v>
      </c>
      <c r="E68" s="48" t="s">
        <v>89</v>
      </c>
      <c r="F68" s="48" t="s">
        <v>28</v>
      </c>
      <c r="G68" s="48" t="s">
        <v>90</v>
      </c>
      <c r="H68" s="48"/>
      <c r="I68" s="49" t="s">
        <v>29</v>
      </c>
      <c r="J68" s="49" t="s">
        <v>30</v>
      </c>
      <c r="K68" s="50" t="s">
        <v>31</v>
      </c>
      <c r="L68" s="29"/>
      <c r="M68" s="29"/>
    </row>
    <row r="69" spans="2:13" x14ac:dyDescent="0.3">
      <c r="B69" s="56" t="s">
        <v>91</v>
      </c>
      <c r="C69" s="57"/>
      <c r="D69" s="127">
        <v>72</v>
      </c>
      <c r="E69" s="128">
        <v>6</v>
      </c>
      <c r="F69" s="129">
        <f>($D$63+$D$64+$D$65+$D$66)*$D$5</f>
        <v>70</v>
      </c>
      <c r="G69" s="130">
        <f>'Farm Parameters'!$D$10</f>
        <v>11</v>
      </c>
      <c r="H69" s="120"/>
      <c r="I69" s="305">
        <f>IF(ISERROR(J69/($D$63+$D$64+$D$65)),0,J69/($D$63+$D$64+$D$65))</f>
        <v>0.91666666666666674</v>
      </c>
      <c r="J69" s="131">
        <f>K69/$D$5</f>
        <v>0.45833333333333337</v>
      </c>
      <c r="K69" s="131">
        <f>G69*E69*F69/D69</f>
        <v>64.166666666666671</v>
      </c>
    </row>
    <row r="70" spans="2:13" x14ac:dyDescent="0.3">
      <c r="B70" s="65" t="s">
        <v>92</v>
      </c>
      <c r="C70" s="66"/>
      <c r="D70" s="132">
        <v>90</v>
      </c>
      <c r="E70" s="133">
        <v>6</v>
      </c>
      <c r="F70" s="134">
        <f>($D$63+$D$64)*$D$5</f>
        <v>56</v>
      </c>
      <c r="G70" s="135">
        <f>'Farm Parameters'!$D$10</f>
        <v>11</v>
      </c>
      <c r="H70" s="122"/>
      <c r="I70" s="306">
        <f>IF(ISERROR(J70/($D$63+$D$64)),0,J70/($D$63+$D$64))</f>
        <v>0.73333333333333328</v>
      </c>
      <c r="J70" s="136">
        <f>K70/$D$5</f>
        <v>0.29333333333333333</v>
      </c>
      <c r="K70" s="136">
        <f>G70*E70*F70/D70</f>
        <v>41.06666666666667</v>
      </c>
    </row>
    <row r="71" spans="2:13" x14ac:dyDescent="0.3">
      <c r="B71" s="65" t="s">
        <v>93</v>
      </c>
      <c r="C71" s="66"/>
      <c r="D71" s="137">
        <v>90</v>
      </c>
      <c r="E71" s="138">
        <v>6</v>
      </c>
      <c r="F71" s="139">
        <f>($D$65)*'Price and Yields'!$E$8/'Price and Yields'!$E$6*$D$5</f>
        <v>8.0500000000000007</v>
      </c>
      <c r="G71" s="140">
        <f>'Farm Parameters'!$D$10</f>
        <v>11</v>
      </c>
      <c r="H71" s="122"/>
      <c r="I71" s="306">
        <f>IF(ISERROR(J71/($D$65)),0,J71/($D$65))</f>
        <v>0.42166666666666669</v>
      </c>
      <c r="J71" s="136">
        <f>K71/$D$5</f>
        <v>4.2166666666666672E-2</v>
      </c>
      <c r="K71" s="136">
        <f>G71*E71*F71/D71</f>
        <v>5.9033333333333342</v>
      </c>
    </row>
    <row r="72" spans="2:13" x14ac:dyDescent="0.3">
      <c r="B72" s="65" t="s">
        <v>94</v>
      </c>
      <c r="C72" s="66"/>
      <c r="D72" s="122"/>
      <c r="E72" s="122"/>
      <c r="F72" s="122"/>
      <c r="G72" s="122"/>
      <c r="H72" s="122"/>
      <c r="I72" s="306">
        <f>'Year 1'!$I$72</f>
        <v>1.35E-2</v>
      </c>
      <c r="J72" s="136">
        <f>K72/$D$5</f>
        <v>6.7499999999999999E-3</v>
      </c>
      <c r="K72" s="136">
        <f>I72*$D$7*$D$5</f>
        <v>0.94499999999999995</v>
      </c>
    </row>
    <row r="73" spans="2:13" x14ac:dyDescent="0.3">
      <c r="B73" s="65" t="s">
        <v>95</v>
      </c>
      <c r="C73" s="66"/>
      <c r="D73" s="122"/>
      <c r="E73" s="122"/>
      <c r="F73" s="122"/>
      <c r="G73" s="122"/>
      <c r="H73" s="122"/>
      <c r="I73" s="306">
        <f>'Year 1'!$I$73</f>
        <v>0</v>
      </c>
      <c r="J73" s="136">
        <f>K73/$D$5</f>
        <v>0</v>
      </c>
      <c r="K73" s="136">
        <f>I73*$D$7*$D$5</f>
        <v>0</v>
      </c>
    </row>
    <row r="74" spans="2:13" x14ac:dyDescent="0.3">
      <c r="B74" s="65" t="s">
        <v>96</v>
      </c>
      <c r="C74" s="66"/>
      <c r="D74" s="122"/>
      <c r="E74" s="122"/>
      <c r="F74" s="122"/>
      <c r="G74" s="122"/>
      <c r="H74" s="122"/>
      <c r="I74" s="306">
        <f>'Year 1'!$I$74</f>
        <v>1.65</v>
      </c>
      <c r="J74" s="136">
        <f>I74*(D63+D64)</f>
        <v>0.66</v>
      </c>
      <c r="K74" s="136">
        <f>J74*$D$5</f>
        <v>92.4</v>
      </c>
    </row>
    <row r="75" spans="2:13" x14ac:dyDescent="0.3">
      <c r="B75" s="65" t="s">
        <v>97</v>
      </c>
      <c r="C75" s="66"/>
      <c r="D75" s="122"/>
      <c r="E75" s="122"/>
      <c r="F75" s="122"/>
      <c r="G75" s="122"/>
      <c r="H75" s="122"/>
      <c r="I75" s="306">
        <f>'Year 1'!$I$75</f>
        <v>1.38</v>
      </c>
      <c r="J75" s="136">
        <f>I75*($D$65)*'Price and Yields'!$E$8/'Price and Yields'!$E$6</f>
        <v>7.934999999999999E-2</v>
      </c>
      <c r="K75" s="136">
        <f>J75*$D$5</f>
        <v>11.108999999999998</v>
      </c>
    </row>
    <row r="76" spans="2:13" x14ac:dyDescent="0.3">
      <c r="B76" s="65" t="s">
        <v>98</v>
      </c>
      <c r="C76" s="66"/>
      <c r="D76" s="122"/>
      <c r="E76" s="122"/>
      <c r="F76" s="122"/>
      <c r="G76" s="122"/>
      <c r="H76" s="122"/>
      <c r="I76" s="306">
        <f>'Year 1'!$I$76</f>
        <v>0.02</v>
      </c>
      <c r="J76" s="136">
        <f>K76/$D$5</f>
        <v>0.01</v>
      </c>
      <c r="K76" s="136">
        <f>I76*$D$7*$D$5</f>
        <v>1.4000000000000001</v>
      </c>
    </row>
    <row r="77" spans="2:13" x14ac:dyDescent="0.3">
      <c r="B77" s="65" t="s">
        <v>99</v>
      </c>
      <c r="C77" s="66"/>
      <c r="D77" s="122"/>
      <c r="E77" s="122"/>
      <c r="F77" s="122"/>
      <c r="G77" s="122"/>
      <c r="H77" s="122"/>
      <c r="I77" s="306">
        <f>'Year 1'!$I$77</f>
        <v>0.05</v>
      </c>
      <c r="J77" s="136">
        <f>K77/$D$5</f>
        <v>2.5000000000000001E-2</v>
      </c>
      <c r="K77" s="136">
        <f>I77*$D$7*$D$5</f>
        <v>3.5</v>
      </c>
    </row>
    <row r="78" spans="2:13" x14ac:dyDescent="0.3">
      <c r="B78" s="65" t="s">
        <v>100</v>
      </c>
      <c r="C78" s="144">
        <v>0.125</v>
      </c>
      <c r="D78" s="122"/>
      <c r="E78" s="122"/>
      <c r="F78" s="122"/>
      <c r="G78" s="122"/>
      <c r="H78" s="122"/>
      <c r="I78" s="306">
        <f>C78*'Price and Yields'!$C$16*'Price and Yields'!$E$8</f>
        <v>1.7868750000000002</v>
      </c>
      <c r="J78" s="136">
        <f>I78*(D63+D64+D65)</f>
        <v>0.89343750000000011</v>
      </c>
      <c r="K78" s="136">
        <f>J78*D5</f>
        <v>125.08125000000001</v>
      </c>
    </row>
    <row r="79" spans="2:13" x14ac:dyDescent="0.3">
      <c r="B79" s="74" t="s">
        <v>101</v>
      </c>
      <c r="C79" s="112">
        <v>0.31</v>
      </c>
      <c r="D79" s="124"/>
      <c r="E79" s="124"/>
      <c r="F79" s="124"/>
      <c r="G79" s="124"/>
      <c r="H79" s="124"/>
      <c r="I79" s="307">
        <f>C79</f>
        <v>0.31</v>
      </c>
      <c r="J79" s="145">
        <f>I79*(D63+D64)+I79*(D65*'Price and Yields'!$E$8/'Price and Yields'!$E$6)</f>
        <v>0.14182500000000001</v>
      </c>
      <c r="K79" s="145">
        <f>J79*D5</f>
        <v>19.855499999999999</v>
      </c>
    </row>
    <row r="80" spans="2:13" s="40" customFormat="1" x14ac:dyDescent="0.3">
      <c r="B80" s="146" t="s">
        <v>102</v>
      </c>
      <c r="C80" s="147"/>
      <c r="D80" s="148" t="s">
        <v>103</v>
      </c>
      <c r="E80" s="148"/>
      <c r="F80" s="148"/>
      <c r="G80" s="148"/>
      <c r="H80" s="148"/>
      <c r="I80" s="149"/>
      <c r="J80" s="149"/>
      <c r="K80" s="150"/>
    </row>
    <row r="81" spans="2:11" x14ac:dyDescent="0.3">
      <c r="B81" s="56" t="s">
        <v>104</v>
      </c>
      <c r="C81" s="57"/>
      <c r="D81" s="61">
        <v>145</v>
      </c>
      <c r="E81" s="120"/>
      <c r="F81" s="120"/>
      <c r="G81" s="120"/>
      <c r="H81" s="120"/>
      <c r="I81" s="63">
        <f>D81/$D$61</f>
        <v>1.0069444444444444</v>
      </c>
      <c r="J81" s="64">
        <f>I81*($D$63)</f>
        <v>0.40277777777777779</v>
      </c>
      <c r="K81" s="131">
        <f>J81*$D$5</f>
        <v>56.388888888888893</v>
      </c>
    </row>
    <row r="82" spans="2:11" x14ac:dyDescent="0.3">
      <c r="B82" s="65" t="s">
        <v>105</v>
      </c>
      <c r="C82" s="66"/>
      <c r="D82" s="70">
        <v>145</v>
      </c>
      <c r="E82" s="122"/>
      <c r="F82" s="122"/>
      <c r="G82" s="122"/>
      <c r="H82" s="122"/>
      <c r="I82" s="72">
        <f>D82/D61</f>
        <v>1.0069444444444444</v>
      </c>
      <c r="J82" s="73">
        <f>I82*($D$64)</f>
        <v>0</v>
      </c>
      <c r="K82" s="136">
        <f>J82*$D$5</f>
        <v>0</v>
      </c>
    </row>
    <row r="83" spans="2:11" x14ac:dyDescent="0.3">
      <c r="B83" s="74" t="s">
        <v>106</v>
      </c>
      <c r="C83" s="75"/>
      <c r="D83" s="79">
        <v>145</v>
      </c>
      <c r="E83" s="124"/>
      <c r="F83" s="124"/>
      <c r="G83" s="124"/>
      <c r="H83" s="124"/>
      <c r="I83" s="81">
        <f>D83/$D$62</f>
        <v>1.4646464646464648</v>
      </c>
      <c r="J83" s="82">
        <f>I83*($D$65)*'Price and Yields'!$E$8/'Price and Yields'!$E$6</f>
        <v>8.4217171717171732E-2</v>
      </c>
      <c r="K83" s="145">
        <f>J83*$D$5</f>
        <v>11.790404040404043</v>
      </c>
    </row>
    <row r="84" spans="2:11" x14ac:dyDescent="0.3">
      <c r="B84" s="114" t="s">
        <v>107</v>
      </c>
      <c r="C84" s="115"/>
      <c r="D84" s="116"/>
      <c r="E84" s="116"/>
      <c r="F84" s="116"/>
      <c r="G84" s="116"/>
      <c r="H84" s="116"/>
      <c r="I84" s="117">
        <f>SUM(I69:I83)</f>
        <v>10.760577020202021</v>
      </c>
      <c r="J84" s="117">
        <f>SUM(J69:J83)</f>
        <v>3.097190782828283</v>
      </c>
      <c r="K84" s="119">
        <f>SUM(K69:K83)</f>
        <v>433.60670959595967</v>
      </c>
    </row>
    <row r="86" spans="2:11" x14ac:dyDescent="0.3">
      <c r="B86" s="114" t="s">
        <v>108</v>
      </c>
      <c r="C86" s="115"/>
      <c r="D86" s="116"/>
      <c r="E86" s="116"/>
      <c r="F86" s="116"/>
      <c r="G86" s="116"/>
      <c r="H86" s="116"/>
      <c r="I86" s="117"/>
      <c r="J86" s="117">
        <f>J84+J58</f>
        <v>4.683785854256854</v>
      </c>
      <c r="K86" s="119">
        <f>K84+K58</f>
        <v>655.73001959595967</v>
      </c>
    </row>
    <row r="87" spans="2:11" x14ac:dyDescent="0.3">
      <c r="B87" s="151" t="s">
        <v>109</v>
      </c>
      <c r="C87" s="152"/>
      <c r="D87" s="153"/>
      <c r="E87" s="153"/>
      <c r="F87" s="153"/>
      <c r="G87" s="153"/>
      <c r="H87" s="153"/>
      <c r="I87" s="154"/>
      <c r="J87" s="154">
        <f>J14-J86</f>
        <v>2.4637141457431477</v>
      </c>
      <c r="K87" s="155">
        <f>K14-K86</f>
        <v>344.91998040404053</v>
      </c>
    </row>
    <row r="88" spans="2:11" x14ac:dyDescent="0.3">
      <c r="D88" s="156"/>
      <c r="E88" s="156"/>
      <c r="F88" s="156"/>
      <c r="G88" s="156"/>
      <c r="H88" s="156"/>
    </row>
    <row r="89" spans="2:11" x14ac:dyDescent="0.3">
      <c r="B89" s="29" t="s">
        <v>110</v>
      </c>
      <c r="D89" s="156"/>
      <c r="E89" s="156"/>
      <c r="F89" s="156"/>
      <c r="G89" s="156"/>
      <c r="H89" s="156"/>
    </row>
    <row r="90" spans="2:11" x14ac:dyDescent="0.3">
      <c r="B90" s="29" t="s">
        <v>111</v>
      </c>
    </row>
  </sheetData>
  <sheetProtection password="8D83" sheet="1" objects="1" scenarios="1"/>
  <phoneticPr fontId="8" type="noConversion"/>
  <printOptions gridLinesSet="0"/>
  <pageMargins left="0.75" right="0.75" top="1" bottom="1" header="0.5" footer="0.5"/>
  <pageSetup paperSize="9" scale="49" orientation="portrait" horizontalDpi="300" verticalDpi="300" r:id="rId1"/>
  <headerFooter alignWithMargins="0">
    <oddHeader>&amp;A</oddHeader>
    <oddFooter>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0"/>
  <sheetViews>
    <sheetView showGridLines="0" showRowColHeaders="0" zoomScale="75" workbookViewId="0">
      <selection activeCell="Y29" sqref="Y29"/>
    </sheetView>
  </sheetViews>
  <sheetFormatPr defaultColWidth="11.5546875" defaultRowHeight="15.6" x14ac:dyDescent="0.3"/>
  <cols>
    <col min="1" max="1" width="10.33203125" style="29" customWidth="1"/>
    <col min="2" max="2" width="28.109375" style="29" customWidth="1"/>
    <col min="3" max="3" width="24.88671875" style="30" customWidth="1"/>
    <col min="4" max="8" width="16.33203125" style="30" customWidth="1"/>
    <col min="9" max="11" width="16.33203125" style="32" customWidth="1"/>
    <col min="12" max="16384" width="11.5546875" style="29"/>
  </cols>
  <sheetData>
    <row r="1" spans="1:14" ht="24.6" x14ac:dyDescent="0.4">
      <c r="A1" s="28" t="s">
        <v>113</v>
      </c>
      <c r="D1" s="31"/>
    </row>
    <row r="3" spans="1:14" ht="17.399999999999999" x14ac:dyDescent="0.3">
      <c r="A3" s="33" t="s">
        <v>22</v>
      </c>
    </row>
    <row r="4" spans="1:14" ht="17.399999999999999" x14ac:dyDescent="0.3">
      <c r="A4" s="33"/>
    </row>
    <row r="5" spans="1:14" x14ac:dyDescent="0.3">
      <c r="B5" s="29" t="s">
        <v>23</v>
      </c>
      <c r="D5" s="34">
        <f>'Farm Parameters'!D6</f>
        <v>140</v>
      </c>
    </row>
    <row r="6" spans="1:14" ht="6" customHeight="1" x14ac:dyDescent="0.3">
      <c r="D6" s="35"/>
    </row>
    <row r="7" spans="1:14" x14ac:dyDescent="0.3">
      <c r="B7" s="29" t="s">
        <v>24</v>
      </c>
      <c r="D7" s="36">
        <f>'Price and Yields'!C23</f>
        <v>2</v>
      </c>
    </row>
    <row r="8" spans="1:14" ht="6" customHeight="1" x14ac:dyDescent="0.3"/>
    <row r="9" spans="1:14" x14ac:dyDescent="0.3">
      <c r="B9" s="29" t="s">
        <v>25</v>
      </c>
      <c r="D9" s="37">
        <f>'Price and Yields'!$C$16</f>
        <v>2.4860869565217394</v>
      </c>
    </row>
    <row r="10" spans="1:14" ht="6" customHeight="1" x14ac:dyDescent="0.3">
      <c r="D10" s="32"/>
    </row>
    <row r="11" spans="1:14" x14ac:dyDescent="0.3">
      <c r="B11" s="29" t="s">
        <v>26</v>
      </c>
      <c r="D11" s="38">
        <v>300</v>
      </c>
    </row>
    <row r="12" spans="1:14" x14ac:dyDescent="0.3">
      <c r="D12" s="39"/>
    </row>
    <row r="13" spans="1:14" s="40" customFormat="1" ht="17.399999999999999" x14ac:dyDescent="0.3">
      <c r="A13" s="33" t="s">
        <v>27</v>
      </c>
      <c r="C13" s="30"/>
      <c r="D13" s="41"/>
      <c r="E13" s="41"/>
      <c r="F13" s="41"/>
      <c r="G13" s="30"/>
      <c r="H13" s="41" t="s">
        <v>28</v>
      </c>
      <c r="I13" s="42" t="s">
        <v>29</v>
      </c>
      <c r="J13" s="42" t="s">
        <v>30</v>
      </c>
      <c r="K13" s="42" t="s">
        <v>31</v>
      </c>
      <c r="L13" s="29"/>
      <c r="M13" s="29"/>
      <c r="N13" s="41" t="s">
        <v>32</v>
      </c>
    </row>
    <row r="14" spans="1:14" s="40" customFormat="1" ht="17.399999999999999" x14ac:dyDescent="0.3">
      <c r="A14" s="33"/>
      <c r="B14" s="40" t="s">
        <v>33</v>
      </c>
      <c r="C14" s="41"/>
      <c r="D14" s="30"/>
      <c r="E14" s="30"/>
      <c r="F14" s="30"/>
      <c r="G14" s="30"/>
      <c r="H14" s="43">
        <f>D7*D5</f>
        <v>280</v>
      </c>
      <c r="I14" s="44">
        <f>IF(ISERROR(J14/D7),0,J14/D7)</f>
        <v>14.295000000000003</v>
      </c>
      <c r="J14" s="44">
        <f>K14/D5</f>
        <v>28.590000000000007</v>
      </c>
      <c r="K14" s="44">
        <f>H14*D9*'Price and Yields'!$E$8</f>
        <v>4002.6000000000008</v>
      </c>
      <c r="L14" s="29"/>
      <c r="M14" s="29"/>
      <c r="N14" s="41"/>
    </row>
    <row r="15" spans="1:14" ht="6" customHeight="1" x14ac:dyDescent="0.3"/>
    <row r="16" spans="1:14" ht="17.399999999999999" x14ac:dyDescent="0.3">
      <c r="A16" s="45" t="s">
        <v>34</v>
      </c>
    </row>
    <row r="17" spans="1:13" ht="6" customHeight="1" x14ac:dyDescent="0.3">
      <c r="A17" s="45"/>
    </row>
    <row r="18" spans="1:13" s="40" customFormat="1" x14ac:dyDescent="0.3">
      <c r="B18" s="46" t="s">
        <v>35</v>
      </c>
      <c r="C18" s="47"/>
      <c r="D18" s="48" t="s">
        <v>36</v>
      </c>
      <c r="E18" s="48" t="s">
        <v>37</v>
      </c>
      <c r="F18" s="48" t="s">
        <v>38</v>
      </c>
      <c r="G18" s="48" t="s">
        <v>39</v>
      </c>
      <c r="H18" s="48" t="s">
        <v>40</v>
      </c>
      <c r="I18" s="49"/>
      <c r="J18" s="49" t="s">
        <v>30</v>
      </c>
      <c r="K18" s="50" t="s">
        <v>31</v>
      </c>
      <c r="L18" s="29"/>
      <c r="M18" s="29"/>
    </row>
    <row r="19" spans="1:13" x14ac:dyDescent="0.3">
      <c r="B19" s="51" t="s">
        <v>41</v>
      </c>
      <c r="C19" s="52"/>
      <c r="D19" s="53"/>
      <c r="E19" s="53"/>
      <c r="F19" s="53"/>
      <c r="G19" s="53"/>
      <c r="H19" s="53"/>
      <c r="I19" s="54"/>
      <c r="J19" s="54"/>
      <c r="K19" s="55"/>
    </row>
    <row r="20" spans="1:13" x14ac:dyDescent="0.3">
      <c r="B20" s="56" t="s">
        <v>42</v>
      </c>
      <c r="C20" s="57"/>
      <c r="D20" s="58">
        <v>6</v>
      </c>
      <c r="E20" s="59" t="s">
        <v>43</v>
      </c>
      <c r="F20" s="60" t="s">
        <v>44</v>
      </c>
      <c r="G20" s="58">
        <v>1</v>
      </c>
      <c r="H20" s="274">
        <f>'Year 1'!$H$20</f>
        <v>1.65</v>
      </c>
      <c r="I20" s="62"/>
      <c r="J20" s="63">
        <f>K20/$D$5</f>
        <v>7.0714285714285702E-2</v>
      </c>
      <c r="K20" s="64">
        <f>H20*G20*D20</f>
        <v>9.8999999999999986</v>
      </c>
    </row>
    <row r="21" spans="1:13" x14ac:dyDescent="0.3">
      <c r="B21" s="65" t="s">
        <v>45</v>
      </c>
      <c r="C21" s="66"/>
      <c r="D21" s="67">
        <v>18</v>
      </c>
      <c r="E21" s="68" t="s">
        <v>43</v>
      </c>
      <c r="F21" s="69" t="s">
        <v>44</v>
      </c>
      <c r="G21" s="67">
        <v>0.4</v>
      </c>
      <c r="H21" s="275">
        <f>'Year 1'!$H$21</f>
        <v>3</v>
      </c>
      <c r="I21" s="71"/>
      <c r="J21" s="72">
        <f>K21/$D$5</f>
        <v>0.1542857142857143</v>
      </c>
      <c r="K21" s="73">
        <f>H21*G21*D21</f>
        <v>21.6</v>
      </c>
    </row>
    <row r="22" spans="1:13" x14ac:dyDescent="0.3">
      <c r="B22" s="74" t="s">
        <v>46</v>
      </c>
      <c r="C22" s="75"/>
      <c r="D22" s="76">
        <v>6</v>
      </c>
      <c r="E22" s="77" t="s">
        <v>43</v>
      </c>
      <c r="F22" s="78" t="s">
        <v>44</v>
      </c>
      <c r="G22" s="76">
        <v>0.4</v>
      </c>
      <c r="H22" s="276">
        <f>'Year 1'!$H$22</f>
        <v>1.65</v>
      </c>
      <c r="I22" s="80"/>
      <c r="J22" s="81">
        <f>K22/$D$5</f>
        <v>2.8285714285714286E-2</v>
      </c>
      <c r="K22" s="82">
        <f>H22*G22*D22</f>
        <v>3.96</v>
      </c>
    </row>
    <row r="23" spans="1:13" x14ac:dyDescent="0.3">
      <c r="B23" s="83" t="s">
        <v>47</v>
      </c>
      <c r="C23" s="84"/>
      <c r="D23" s="85"/>
      <c r="E23" s="85"/>
      <c r="F23" s="85"/>
      <c r="G23" s="85"/>
      <c r="H23" s="86"/>
      <c r="I23" s="87"/>
      <c r="J23" s="87"/>
      <c r="K23" s="88">
        <f>SUM(K20:K22)</f>
        <v>35.46</v>
      </c>
    </row>
    <row r="24" spans="1:13" x14ac:dyDescent="0.3">
      <c r="B24" s="51" t="s">
        <v>48</v>
      </c>
      <c r="C24" s="52"/>
      <c r="D24" s="53"/>
      <c r="E24" s="53"/>
      <c r="F24" s="53"/>
      <c r="G24" s="53"/>
      <c r="H24" s="89"/>
      <c r="I24" s="54"/>
      <c r="J24" s="54"/>
      <c r="K24" s="55"/>
    </row>
    <row r="25" spans="1:13" x14ac:dyDescent="0.3">
      <c r="B25" s="56" t="s">
        <v>49</v>
      </c>
      <c r="C25" s="57"/>
      <c r="D25" s="58">
        <v>0</v>
      </c>
      <c r="E25" s="59" t="s">
        <v>43</v>
      </c>
      <c r="F25" s="58">
        <v>0.06</v>
      </c>
      <c r="G25" s="90">
        <f>F25*$D$5</f>
        <v>8.4</v>
      </c>
      <c r="H25" s="274">
        <f>'Farm Parameters'!$D$10</f>
        <v>11</v>
      </c>
      <c r="I25" s="62"/>
      <c r="J25" s="63">
        <f>K25/$D$5</f>
        <v>0</v>
      </c>
      <c r="K25" s="64">
        <f>H25*G25*D25</f>
        <v>0</v>
      </c>
    </row>
    <row r="26" spans="1:13" x14ac:dyDescent="0.3">
      <c r="B26" s="65" t="s">
        <v>50</v>
      </c>
      <c r="C26" s="66"/>
      <c r="D26" s="67">
        <v>0</v>
      </c>
      <c r="E26" s="68" t="s">
        <v>43</v>
      </c>
      <c r="F26" s="67">
        <v>0.5</v>
      </c>
      <c r="G26" s="91">
        <f>F26*$D$5</f>
        <v>70</v>
      </c>
      <c r="H26" s="275">
        <f>H25</f>
        <v>11</v>
      </c>
      <c r="I26" s="71"/>
      <c r="J26" s="72">
        <f>K26/$D$5</f>
        <v>0</v>
      </c>
      <c r="K26" s="73">
        <f>H26*G26*D26</f>
        <v>0</v>
      </c>
    </row>
    <row r="27" spans="1:13" x14ac:dyDescent="0.3">
      <c r="B27" s="74" t="s">
        <v>51</v>
      </c>
      <c r="C27" s="75"/>
      <c r="D27" s="76">
        <v>1</v>
      </c>
      <c r="E27" s="77" t="s">
        <v>43</v>
      </c>
      <c r="F27" s="76">
        <v>0.125</v>
      </c>
      <c r="G27" s="92">
        <f>F27*$D$5</f>
        <v>17.5</v>
      </c>
      <c r="H27" s="276">
        <f>H25</f>
        <v>11</v>
      </c>
      <c r="I27" s="80"/>
      <c r="J27" s="81">
        <f>K27/$D$5</f>
        <v>1.375</v>
      </c>
      <c r="K27" s="82">
        <f>H27*G27*D27</f>
        <v>192.5</v>
      </c>
    </row>
    <row r="28" spans="1:13" x14ac:dyDescent="0.3">
      <c r="B28" s="83" t="s">
        <v>47</v>
      </c>
      <c r="C28" s="84"/>
      <c r="D28" s="85"/>
      <c r="E28" s="85"/>
      <c r="F28" s="85"/>
      <c r="G28" s="85"/>
      <c r="H28" s="86"/>
      <c r="I28" s="87"/>
      <c r="J28" s="87"/>
      <c r="K28" s="88">
        <f>SUM(K25:K27)</f>
        <v>192.5</v>
      </c>
    </row>
    <row r="29" spans="1:13" x14ac:dyDescent="0.3">
      <c r="B29" s="51" t="s">
        <v>46</v>
      </c>
      <c r="C29" s="52"/>
      <c r="D29" s="53"/>
      <c r="E29" s="53"/>
      <c r="F29" s="53"/>
      <c r="G29" s="53"/>
      <c r="H29" s="277"/>
      <c r="I29" s="54"/>
      <c r="J29" s="54"/>
      <c r="K29" s="55"/>
    </row>
    <row r="30" spans="1:13" x14ac:dyDescent="0.3">
      <c r="B30" s="56" t="s">
        <v>52</v>
      </c>
      <c r="C30" s="57"/>
      <c r="D30" s="58">
        <v>6</v>
      </c>
      <c r="E30" s="59" t="s">
        <v>53</v>
      </c>
      <c r="F30" s="58">
        <v>0.06</v>
      </c>
      <c r="G30" s="60">
        <f t="shared" ref="G30:G37" si="0">F30*$D$5</f>
        <v>8.4</v>
      </c>
      <c r="H30" s="274">
        <f>'Year 1'!$H$30</f>
        <v>0.47</v>
      </c>
      <c r="I30" s="62"/>
      <c r="J30" s="64">
        <f t="shared" ref="J30:J37" si="1">K30/$D$5</f>
        <v>0.16919999999999999</v>
      </c>
      <c r="K30" s="64">
        <f t="shared" ref="K30:K37" si="2">H30*G30*D30</f>
        <v>23.687999999999999</v>
      </c>
    </row>
    <row r="31" spans="1:13" x14ac:dyDescent="0.3">
      <c r="B31" s="65" t="s">
        <v>54</v>
      </c>
      <c r="C31" s="66"/>
      <c r="D31" s="67">
        <v>3</v>
      </c>
      <c r="E31" s="68" t="s">
        <v>53</v>
      </c>
      <c r="F31" s="67">
        <v>0.1</v>
      </c>
      <c r="G31" s="69">
        <f t="shared" si="0"/>
        <v>14</v>
      </c>
      <c r="H31" s="275">
        <f>'Year 1'!$H$31</f>
        <v>0.53</v>
      </c>
      <c r="I31" s="71"/>
      <c r="J31" s="73">
        <f t="shared" si="1"/>
        <v>0.15899999999999997</v>
      </c>
      <c r="K31" s="73">
        <f t="shared" si="2"/>
        <v>22.259999999999998</v>
      </c>
    </row>
    <row r="32" spans="1:13" x14ac:dyDescent="0.3">
      <c r="B32" s="65" t="s">
        <v>55</v>
      </c>
      <c r="C32" s="66"/>
      <c r="D32" s="67">
        <v>0</v>
      </c>
      <c r="E32" s="68" t="s">
        <v>56</v>
      </c>
      <c r="F32" s="67">
        <v>15</v>
      </c>
      <c r="G32" s="69">
        <f t="shared" si="0"/>
        <v>2100</v>
      </c>
      <c r="H32" s="275">
        <f>'Year 1'!$H$32</f>
        <v>3.0000000000000001E-3</v>
      </c>
      <c r="I32" s="71"/>
      <c r="J32" s="73">
        <f t="shared" si="1"/>
        <v>0</v>
      </c>
      <c r="K32" s="73">
        <f t="shared" si="2"/>
        <v>0</v>
      </c>
    </row>
    <row r="33" spans="2:11" x14ac:dyDescent="0.3">
      <c r="B33" s="65" t="s">
        <v>57</v>
      </c>
      <c r="C33" s="66"/>
      <c r="D33" s="67">
        <v>1</v>
      </c>
      <c r="E33" s="68" t="s">
        <v>58</v>
      </c>
      <c r="F33" s="67">
        <v>4</v>
      </c>
      <c r="G33" s="69">
        <f t="shared" si="0"/>
        <v>560</v>
      </c>
      <c r="H33" s="275">
        <f>'Year 1'!$H$33</f>
        <v>1.5</v>
      </c>
      <c r="I33" s="71"/>
      <c r="J33" s="73">
        <f t="shared" si="1"/>
        <v>6</v>
      </c>
      <c r="K33" s="73">
        <f t="shared" si="2"/>
        <v>840</v>
      </c>
    </row>
    <row r="34" spans="2:11" x14ac:dyDescent="0.3">
      <c r="B34" s="65" t="s">
        <v>59</v>
      </c>
      <c r="C34" s="66"/>
      <c r="D34" s="67">
        <v>1</v>
      </c>
      <c r="E34" s="68" t="s">
        <v>53</v>
      </c>
      <c r="F34" s="67">
        <v>0.03</v>
      </c>
      <c r="G34" s="69">
        <f t="shared" si="0"/>
        <v>4.2</v>
      </c>
      <c r="H34" s="275">
        <f>'Year 1'!$H$34</f>
        <v>0.88</v>
      </c>
      <c r="I34" s="71"/>
      <c r="J34" s="73">
        <f t="shared" si="1"/>
        <v>2.64E-2</v>
      </c>
      <c r="K34" s="73">
        <f t="shared" si="2"/>
        <v>3.6960000000000002</v>
      </c>
    </row>
    <row r="35" spans="2:11" x14ac:dyDescent="0.3">
      <c r="B35" s="65" t="s">
        <v>60</v>
      </c>
      <c r="C35" s="66"/>
      <c r="D35" s="67">
        <v>1</v>
      </c>
      <c r="E35" s="68" t="s">
        <v>53</v>
      </c>
      <c r="F35" s="67">
        <v>7.4999999999999997E-2</v>
      </c>
      <c r="G35" s="69">
        <f t="shared" si="0"/>
        <v>10.5</v>
      </c>
      <c r="H35" s="275">
        <f>'Year 1'!$H$35</f>
        <v>1</v>
      </c>
      <c r="I35" s="71"/>
      <c r="J35" s="73">
        <f t="shared" si="1"/>
        <v>7.4999999999999997E-2</v>
      </c>
      <c r="K35" s="73">
        <f t="shared" si="2"/>
        <v>10.5</v>
      </c>
    </row>
    <row r="36" spans="2:11" x14ac:dyDescent="0.3">
      <c r="B36" s="65" t="s">
        <v>61</v>
      </c>
      <c r="C36" s="66"/>
      <c r="D36" s="67">
        <v>2</v>
      </c>
      <c r="E36" s="68" t="s">
        <v>53</v>
      </c>
      <c r="F36" s="67">
        <v>0.01</v>
      </c>
      <c r="G36" s="69">
        <f t="shared" si="0"/>
        <v>1.4000000000000001</v>
      </c>
      <c r="H36" s="275">
        <f>'Year 1'!$H$36</f>
        <v>2.7792000000000003</v>
      </c>
      <c r="I36" s="71"/>
      <c r="J36" s="73">
        <f t="shared" si="1"/>
        <v>5.5584000000000015E-2</v>
      </c>
      <c r="K36" s="73">
        <f t="shared" si="2"/>
        <v>7.781760000000002</v>
      </c>
    </row>
    <row r="37" spans="2:11" x14ac:dyDescent="0.3">
      <c r="B37" s="74" t="s">
        <v>62</v>
      </c>
      <c r="C37" s="75"/>
      <c r="D37" s="76">
        <v>1</v>
      </c>
      <c r="E37" s="68" t="s">
        <v>53</v>
      </c>
      <c r="F37" s="76">
        <v>0.2</v>
      </c>
      <c r="G37" s="78">
        <f t="shared" si="0"/>
        <v>28</v>
      </c>
      <c r="H37" s="276">
        <f>'Year 1'!$H$37</f>
        <v>0.14000000000000001</v>
      </c>
      <c r="I37" s="80"/>
      <c r="J37" s="82">
        <f t="shared" si="1"/>
        <v>2.8000000000000004E-2</v>
      </c>
      <c r="K37" s="82">
        <f t="shared" si="2"/>
        <v>3.9200000000000004</v>
      </c>
    </row>
    <row r="38" spans="2:11" x14ac:dyDescent="0.3">
      <c r="B38" s="83" t="s">
        <v>47</v>
      </c>
      <c r="C38" s="84"/>
      <c r="D38" s="85"/>
      <c r="E38" s="85"/>
      <c r="F38" s="85"/>
      <c r="G38" s="85"/>
      <c r="H38" s="284"/>
      <c r="I38" s="87"/>
      <c r="J38" s="87"/>
      <c r="K38" s="88">
        <f>SUM(K30:K37)</f>
        <v>911.84575999999993</v>
      </c>
    </row>
    <row r="39" spans="2:11" x14ac:dyDescent="0.3">
      <c r="B39" s="51" t="s">
        <v>63</v>
      </c>
      <c r="C39" s="52"/>
      <c r="D39" s="53"/>
      <c r="E39" s="53"/>
      <c r="F39" s="53"/>
      <c r="G39" s="53"/>
      <c r="H39" s="277"/>
      <c r="I39" s="54"/>
      <c r="J39" s="54"/>
      <c r="K39" s="55"/>
    </row>
    <row r="40" spans="2:11" x14ac:dyDescent="0.3">
      <c r="B40" s="56" t="s">
        <v>64</v>
      </c>
      <c r="C40" s="57"/>
      <c r="D40" s="58">
        <v>5</v>
      </c>
      <c r="E40" s="59" t="s">
        <v>56</v>
      </c>
      <c r="F40" s="285">
        <v>5.0000000000000001E-3</v>
      </c>
      <c r="G40" s="90">
        <f>F40*$D$5</f>
        <v>0.70000000000000007</v>
      </c>
      <c r="H40" s="274">
        <f>'Year 1'!$H$40</f>
        <v>9.75</v>
      </c>
      <c r="I40" s="62"/>
      <c r="J40" s="63">
        <f>K40/$D$5</f>
        <v>0.24375000000000005</v>
      </c>
      <c r="K40" s="64">
        <f>H40*G40*D40</f>
        <v>34.125000000000007</v>
      </c>
    </row>
    <row r="41" spans="2:11" x14ac:dyDescent="0.3">
      <c r="B41" s="96" t="s">
        <v>65</v>
      </c>
      <c r="C41" s="66"/>
      <c r="D41" s="67">
        <v>0</v>
      </c>
      <c r="E41" s="68" t="s">
        <v>56</v>
      </c>
      <c r="F41" s="287">
        <v>0.03</v>
      </c>
      <c r="G41" s="91">
        <f>F41*$D$5</f>
        <v>4.2</v>
      </c>
      <c r="H41" s="275">
        <f>'Year 1'!$H$41</f>
        <v>0</v>
      </c>
      <c r="I41" s="71"/>
      <c r="J41" s="72">
        <f>K41/$D$5</f>
        <v>0</v>
      </c>
      <c r="K41" s="73">
        <f>H41*G41*D41</f>
        <v>0</v>
      </c>
    </row>
    <row r="42" spans="2:11" x14ac:dyDescent="0.3">
      <c r="B42" s="99" t="s">
        <v>65</v>
      </c>
      <c r="C42" s="75"/>
      <c r="D42" s="76">
        <v>0</v>
      </c>
      <c r="E42" s="77" t="s">
        <v>56</v>
      </c>
      <c r="F42" s="289">
        <v>0.03</v>
      </c>
      <c r="G42" s="92">
        <f>F42*$D$5</f>
        <v>4.2</v>
      </c>
      <c r="H42" s="276">
        <f>'Year 1'!$H$42</f>
        <v>0</v>
      </c>
      <c r="I42" s="80"/>
      <c r="J42" s="81">
        <f>K42/$D$5</f>
        <v>0</v>
      </c>
      <c r="K42" s="82">
        <f>H42*G42*D42</f>
        <v>0</v>
      </c>
    </row>
    <row r="43" spans="2:11" x14ac:dyDescent="0.3">
      <c r="B43" s="83" t="s">
        <v>47</v>
      </c>
      <c r="C43" s="84"/>
      <c r="D43" s="85"/>
      <c r="E43" s="85"/>
      <c r="F43" s="85"/>
      <c r="G43" s="85"/>
      <c r="H43" s="284"/>
      <c r="I43" s="87"/>
      <c r="J43" s="87"/>
      <c r="K43" s="88">
        <f>SUM(K40:K42)</f>
        <v>34.125000000000007</v>
      </c>
    </row>
    <row r="44" spans="2:11" s="40" customFormat="1" x14ac:dyDescent="0.3">
      <c r="B44" s="51" t="s">
        <v>66</v>
      </c>
      <c r="C44" s="52"/>
      <c r="D44" s="53"/>
      <c r="E44" s="53"/>
      <c r="F44" s="53"/>
      <c r="G44" s="53"/>
      <c r="H44" s="89"/>
      <c r="I44" s="54"/>
      <c r="J44" s="54"/>
      <c r="K44" s="55"/>
    </row>
    <row r="45" spans="2:11" x14ac:dyDescent="0.3">
      <c r="B45" s="65" t="s">
        <v>68</v>
      </c>
      <c r="C45" s="291"/>
      <c r="D45" s="58">
        <v>4</v>
      </c>
      <c r="E45" s="68" t="s">
        <v>56</v>
      </c>
      <c r="F45" s="104">
        <f>IF(D45=0,0,$D$11/100*'Year 1'!$C45/$D$5)</f>
        <v>3.2142857142857138E-3</v>
      </c>
      <c r="G45" s="69">
        <f>F45*$D$5</f>
        <v>0.44999999999999996</v>
      </c>
      <c r="H45" s="275">
        <f>'Year 1'!$H$45</f>
        <v>7.65</v>
      </c>
      <c r="I45" s="71"/>
      <c r="J45" s="73">
        <f>K45/$D$5</f>
        <v>9.8357142857142851E-2</v>
      </c>
      <c r="K45" s="73">
        <f>H45*G45*D45</f>
        <v>13.77</v>
      </c>
    </row>
    <row r="46" spans="2:11" x14ac:dyDescent="0.3">
      <c r="B46" s="65" t="s">
        <v>69</v>
      </c>
      <c r="C46" s="291"/>
      <c r="D46" s="67">
        <v>3</v>
      </c>
      <c r="E46" s="68" t="s">
        <v>56</v>
      </c>
      <c r="F46" s="104">
        <f>IF(D46=0,0,$D$11/100*'Year 1'!$C46/$D$5)</f>
        <v>2.142857142857143E-3</v>
      </c>
      <c r="G46" s="69">
        <f>F46*$D$5</f>
        <v>0.3</v>
      </c>
      <c r="H46" s="275">
        <f>'Year 1'!$H$46</f>
        <v>17.82</v>
      </c>
      <c r="I46" s="71"/>
      <c r="J46" s="73">
        <f>K46/$D$5</f>
        <v>0.11455714285714286</v>
      </c>
      <c r="K46" s="73">
        <f>H46*G46*D46</f>
        <v>16.038</v>
      </c>
    </row>
    <row r="47" spans="2:11" x14ac:dyDescent="0.3">
      <c r="B47" s="65" t="s">
        <v>70</v>
      </c>
      <c r="C47" s="291"/>
      <c r="D47" s="67">
        <v>2</v>
      </c>
      <c r="E47" s="68" t="s">
        <v>56</v>
      </c>
      <c r="F47" s="104">
        <f>IF(D47=0,0,$D$11/100*'Year 1'!$C47/$D$5)</f>
        <v>8.1428571428571422E-4</v>
      </c>
      <c r="G47" s="69">
        <f>F47*$D$5</f>
        <v>0.11399999999999999</v>
      </c>
      <c r="H47" s="275">
        <f>'Year 1'!$H$47</f>
        <v>82.72</v>
      </c>
      <c r="I47" s="71"/>
      <c r="J47" s="73">
        <f>K47/$D$5</f>
        <v>0.13471542857142854</v>
      </c>
      <c r="K47" s="73">
        <f>H47*G47*D47</f>
        <v>18.860159999999997</v>
      </c>
    </row>
    <row r="48" spans="2:11" x14ac:dyDescent="0.3">
      <c r="B48" s="65" t="s">
        <v>71</v>
      </c>
      <c r="C48" s="291"/>
      <c r="D48" s="76">
        <v>3</v>
      </c>
      <c r="E48" s="68" t="s">
        <v>56</v>
      </c>
      <c r="F48" s="104">
        <f>IF(D48=0,0,$D$11/100*'Year 1'!$C48/$D$5)</f>
        <v>1.6071428571428569E-3</v>
      </c>
      <c r="G48" s="69">
        <f>F48*$D$5</f>
        <v>0.22499999999999998</v>
      </c>
      <c r="H48" s="275">
        <f>'Year 1'!$H$48</f>
        <v>8.1999999999999993</v>
      </c>
      <c r="I48" s="71"/>
      <c r="J48" s="73">
        <f>K48/$D$5</f>
        <v>3.9535714285714278E-2</v>
      </c>
      <c r="K48" s="73">
        <f>H48*G48*D48</f>
        <v>5.5349999999999993</v>
      </c>
    </row>
    <row r="49" spans="2:11" x14ac:dyDescent="0.3">
      <c r="B49" s="83" t="s">
        <v>47</v>
      </c>
      <c r="C49" s="84"/>
      <c r="D49" s="85"/>
      <c r="E49" s="85"/>
      <c r="F49" s="85"/>
      <c r="G49" s="85"/>
      <c r="H49" s="86"/>
      <c r="I49" s="87"/>
      <c r="J49" s="87"/>
      <c r="K49" s="88">
        <f>SUM(K45:K48)</f>
        <v>54.203159999999997</v>
      </c>
    </row>
    <row r="50" spans="2:11" x14ac:dyDescent="0.3">
      <c r="B50" s="51" t="s">
        <v>72</v>
      </c>
      <c r="C50" s="52"/>
      <c r="D50" s="53"/>
      <c r="E50" s="53"/>
      <c r="F50" s="53"/>
      <c r="G50" s="53"/>
      <c r="H50" s="277"/>
      <c r="I50" s="54"/>
      <c r="J50" s="54"/>
      <c r="K50" s="55"/>
    </row>
    <row r="51" spans="2:11" x14ac:dyDescent="0.3">
      <c r="B51" s="56" t="s">
        <v>73</v>
      </c>
      <c r="C51" s="294"/>
      <c r="D51" s="295">
        <v>11</v>
      </c>
      <c r="E51" s="68" t="s">
        <v>53</v>
      </c>
      <c r="F51" s="104">
        <f>IF(D51=0,0,$D$11/100*'Year 1'!$C51/$D$5)</f>
        <v>4.2857142857142859E-3</v>
      </c>
      <c r="G51" s="90">
        <f>F51*$D$5</f>
        <v>0.6</v>
      </c>
      <c r="H51" s="274">
        <f>'Year 1'!$H$51</f>
        <v>6.33</v>
      </c>
      <c r="I51" s="62"/>
      <c r="J51" s="63">
        <f>K51/$D$5</f>
        <v>0.29841428571428569</v>
      </c>
      <c r="K51" s="64">
        <f>H51*G51*D51</f>
        <v>41.777999999999999</v>
      </c>
    </row>
    <row r="52" spans="2:11" x14ac:dyDescent="0.3">
      <c r="B52" s="96" t="s">
        <v>74</v>
      </c>
      <c r="C52" s="296"/>
      <c r="D52" s="297">
        <v>0</v>
      </c>
      <c r="E52" s="68" t="s">
        <v>56</v>
      </c>
      <c r="F52" s="109">
        <v>0</v>
      </c>
      <c r="G52" s="91">
        <f>F52*$D$5</f>
        <v>0</v>
      </c>
      <c r="H52" s="275">
        <f>'Year 1'!$H$52</f>
        <v>2.2000000000000002</v>
      </c>
      <c r="I52" s="71"/>
      <c r="J52" s="72">
        <f>K52/$D$5</f>
        <v>0</v>
      </c>
      <c r="K52" s="73">
        <f>H52*G52*D52</f>
        <v>0</v>
      </c>
    </row>
    <row r="53" spans="2:11" x14ac:dyDescent="0.3">
      <c r="B53" s="99" t="s">
        <v>65</v>
      </c>
      <c r="C53" s="299"/>
      <c r="D53" s="300">
        <v>0</v>
      </c>
      <c r="E53" s="68" t="s">
        <v>53</v>
      </c>
      <c r="F53" s="104">
        <f>IF(D53=0,0,$D$11/100*'Year 1'!$C53/$D$5)</f>
        <v>0</v>
      </c>
      <c r="G53" s="92">
        <f>F53*$D$5</f>
        <v>0</v>
      </c>
      <c r="H53" s="276">
        <f>'Year 1'!$H$53</f>
        <v>0</v>
      </c>
      <c r="I53" s="80"/>
      <c r="J53" s="81">
        <f>K53/$D$5</f>
        <v>0</v>
      </c>
      <c r="K53" s="82">
        <f>H53*G53*D53</f>
        <v>0</v>
      </c>
    </row>
    <row r="54" spans="2:11" x14ac:dyDescent="0.3">
      <c r="B54" s="83" t="s">
        <v>47</v>
      </c>
      <c r="C54" s="84"/>
      <c r="D54" s="85"/>
      <c r="E54" s="85"/>
      <c r="F54" s="85"/>
      <c r="G54" s="85"/>
      <c r="H54" s="284"/>
      <c r="I54" s="87"/>
      <c r="J54" s="87"/>
      <c r="K54" s="88">
        <f>SUM(K51:K53)</f>
        <v>41.777999999999999</v>
      </c>
    </row>
    <row r="55" spans="2:11" x14ac:dyDescent="0.3">
      <c r="B55" s="51" t="s">
        <v>65</v>
      </c>
      <c r="C55" s="52"/>
      <c r="D55" s="53"/>
      <c r="E55" s="53"/>
      <c r="F55" s="53"/>
      <c r="G55" s="53"/>
      <c r="H55" s="277"/>
      <c r="I55" s="54"/>
      <c r="J55" s="54"/>
      <c r="K55" s="55"/>
    </row>
    <row r="56" spans="2:11" x14ac:dyDescent="0.3">
      <c r="B56" s="56" t="s">
        <v>75</v>
      </c>
      <c r="C56" s="57"/>
      <c r="D56" s="60" t="s">
        <v>44</v>
      </c>
      <c r="E56" s="59" t="s">
        <v>76</v>
      </c>
      <c r="F56" s="60" t="s">
        <v>44</v>
      </c>
      <c r="G56" s="111">
        <v>4.55</v>
      </c>
      <c r="H56" s="274">
        <f>'Year 1'!$H$56</f>
        <v>30</v>
      </c>
      <c r="I56" s="62"/>
      <c r="J56" s="63">
        <f>K56/$D$5</f>
        <v>0.97499999999999998</v>
      </c>
      <c r="K56" s="64">
        <f>H56*G56</f>
        <v>136.5</v>
      </c>
    </row>
    <row r="57" spans="2:11" x14ac:dyDescent="0.3">
      <c r="B57" s="99" t="s">
        <v>77</v>
      </c>
      <c r="C57" s="75"/>
      <c r="D57" s="78" t="s">
        <v>44</v>
      </c>
      <c r="E57" s="77" t="s">
        <v>43</v>
      </c>
      <c r="F57" s="78" t="s">
        <v>44</v>
      </c>
      <c r="G57" s="113">
        <v>0</v>
      </c>
      <c r="H57" s="276">
        <f>'Year 1'!$H$57</f>
        <v>11</v>
      </c>
      <c r="I57" s="80"/>
      <c r="J57" s="81">
        <f>K57/$D$5</f>
        <v>0</v>
      </c>
      <c r="K57" s="82">
        <f>H57*G57</f>
        <v>0</v>
      </c>
    </row>
    <row r="58" spans="2:11" x14ac:dyDescent="0.3">
      <c r="B58" s="114" t="s">
        <v>78</v>
      </c>
      <c r="C58" s="115"/>
      <c r="D58" s="116"/>
      <c r="E58" s="116"/>
      <c r="F58" s="116"/>
      <c r="G58" s="116"/>
      <c r="H58" s="116"/>
      <c r="I58" s="117"/>
      <c r="J58" s="117">
        <f>SUM(J20:J57)</f>
        <v>10.045799428571428</v>
      </c>
      <c r="K58" s="118">
        <f>K57+K56+K54+K49+K43+K38+K28+K23</f>
        <v>1406.41192</v>
      </c>
    </row>
    <row r="59" spans="2:11" x14ac:dyDescent="0.3">
      <c r="C59" s="29"/>
      <c r="D59" s="29"/>
      <c r="E59" s="29"/>
      <c r="F59" s="29"/>
      <c r="G59" s="29"/>
      <c r="H59" s="29"/>
      <c r="I59" s="29"/>
      <c r="J59" s="29"/>
      <c r="K59" s="29"/>
    </row>
    <row r="60" spans="2:11" x14ac:dyDescent="0.3">
      <c r="B60" s="114" t="s">
        <v>79</v>
      </c>
      <c r="C60" s="115"/>
      <c r="D60" s="116"/>
      <c r="E60" s="116"/>
      <c r="F60" s="116"/>
      <c r="G60" s="116"/>
      <c r="H60" s="116"/>
      <c r="I60" s="117"/>
      <c r="J60" s="117"/>
      <c r="K60" s="119"/>
    </row>
    <row r="61" spans="2:11" x14ac:dyDescent="0.3">
      <c r="B61" s="56" t="s">
        <v>80</v>
      </c>
      <c r="C61" s="57"/>
      <c r="D61" s="58">
        <v>144</v>
      </c>
      <c r="E61" s="120"/>
      <c r="F61" s="120"/>
      <c r="G61" s="120"/>
      <c r="H61" s="120"/>
      <c r="I61" s="62"/>
      <c r="J61" s="62"/>
      <c r="K61" s="121"/>
    </row>
    <row r="62" spans="2:11" x14ac:dyDescent="0.3">
      <c r="B62" s="65" t="s">
        <v>81</v>
      </c>
      <c r="C62" s="66"/>
      <c r="D62" s="76">
        <v>99</v>
      </c>
      <c r="E62" s="122"/>
      <c r="F62" s="122"/>
      <c r="G62" s="122"/>
      <c r="H62" s="122"/>
      <c r="I62" s="71"/>
      <c r="J62" s="71"/>
      <c r="K62" s="123"/>
    </row>
    <row r="63" spans="2:11" x14ac:dyDescent="0.3">
      <c r="B63" s="65" t="s">
        <v>82</v>
      </c>
      <c r="C63" s="66"/>
      <c r="D63" s="69">
        <f>'Price and Yields'!$E$11*'Year 3'!$D$7</f>
        <v>1.6</v>
      </c>
      <c r="E63" s="122" t="s">
        <v>83</v>
      </c>
      <c r="F63" s="122"/>
      <c r="G63" s="122"/>
      <c r="H63" s="122"/>
      <c r="I63" s="71"/>
      <c r="J63" s="71"/>
      <c r="K63" s="123"/>
    </row>
    <row r="64" spans="2:11" x14ac:dyDescent="0.3">
      <c r="B64" s="65" t="s">
        <v>84</v>
      </c>
      <c r="C64" s="66"/>
      <c r="D64" s="69">
        <f>'Price and Yields'!$E$12*'Year 3'!$D$7</f>
        <v>0</v>
      </c>
      <c r="E64" s="122" t="s">
        <v>83</v>
      </c>
      <c r="F64" s="122"/>
      <c r="G64" s="122"/>
      <c r="H64" s="122"/>
      <c r="I64" s="71"/>
      <c r="J64" s="71"/>
      <c r="K64" s="123"/>
    </row>
    <row r="65" spans="2:13" x14ac:dyDescent="0.3">
      <c r="B65" s="65" t="s">
        <v>85</v>
      </c>
      <c r="C65" s="66"/>
      <c r="D65" s="69">
        <f>'Price and Yields'!$E$13*'Year 3'!$D$7</f>
        <v>0.4</v>
      </c>
      <c r="E65" s="122" t="s">
        <v>83</v>
      </c>
      <c r="F65" s="122"/>
      <c r="G65" s="122"/>
      <c r="H65" s="122"/>
      <c r="I65" s="71"/>
      <c r="J65" s="71"/>
      <c r="K65" s="123"/>
    </row>
    <row r="66" spans="2:13" x14ac:dyDescent="0.3">
      <c r="B66" s="74" t="s">
        <v>86</v>
      </c>
      <c r="C66" s="75"/>
      <c r="D66" s="78">
        <f>'Price and Yields'!E14*'Year 3'!D7</f>
        <v>0</v>
      </c>
      <c r="E66" s="124" t="s">
        <v>83</v>
      </c>
      <c r="F66" s="124"/>
      <c r="G66" s="124"/>
      <c r="H66" s="124"/>
      <c r="I66" s="80"/>
      <c r="J66" s="80"/>
      <c r="K66" s="125"/>
    </row>
    <row r="67" spans="2:13" x14ac:dyDescent="0.3">
      <c r="B67" s="51"/>
      <c r="C67" s="52"/>
      <c r="D67" s="126"/>
      <c r="E67" s="53"/>
      <c r="F67" s="53"/>
      <c r="G67" s="53"/>
      <c r="H67" s="53"/>
      <c r="I67" s="54"/>
      <c r="J67" s="54"/>
      <c r="K67" s="55"/>
    </row>
    <row r="68" spans="2:13" s="40" customFormat="1" ht="15.75" customHeight="1" x14ac:dyDescent="0.3">
      <c r="B68" s="114" t="s">
        <v>87</v>
      </c>
      <c r="C68" s="47"/>
      <c r="D68" s="48" t="s">
        <v>88</v>
      </c>
      <c r="E68" s="48" t="s">
        <v>89</v>
      </c>
      <c r="F68" s="48" t="s">
        <v>28</v>
      </c>
      <c r="G68" s="48" t="s">
        <v>90</v>
      </c>
      <c r="H68" s="48"/>
      <c r="I68" s="49" t="s">
        <v>29</v>
      </c>
      <c r="J68" s="49" t="s">
        <v>30</v>
      </c>
      <c r="K68" s="50" t="s">
        <v>31</v>
      </c>
      <c r="L68" s="29"/>
      <c r="M68" s="29"/>
    </row>
    <row r="69" spans="2:13" x14ac:dyDescent="0.3">
      <c r="B69" s="56" t="s">
        <v>91</v>
      </c>
      <c r="C69" s="57"/>
      <c r="D69" s="127">
        <v>72</v>
      </c>
      <c r="E69" s="128">
        <v>6</v>
      </c>
      <c r="F69" s="129">
        <f>($D$63+$D$64+$D$65+$D$66)*$D$5</f>
        <v>280</v>
      </c>
      <c r="G69" s="130">
        <f>'Farm Parameters'!$D$10</f>
        <v>11</v>
      </c>
      <c r="H69" s="120"/>
      <c r="I69" s="63">
        <f>IF(ISERROR(J69/($D$63+$D$64+$D$65)),0,J69/($D$63+$D$64+$D$65))</f>
        <v>0.91666666666666674</v>
      </c>
      <c r="J69" s="64">
        <f>K69/$D$5</f>
        <v>1.8333333333333335</v>
      </c>
      <c r="K69" s="131">
        <f>G69*E69*F69/D69</f>
        <v>256.66666666666669</v>
      </c>
    </row>
    <row r="70" spans="2:13" x14ac:dyDescent="0.3">
      <c r="B70" s="65" t="s">
        <v>92</v>
      </c>
      <c r="C70" s="66"/>
      <c r="D70" s="132">
        <v>90</v>
      </c>
      <c r="E70" s="133">
        <v>6</v>
      </c>
      <c r="F70" s="134">
        <f>($D$63+$D$64)*$D$5</f>
        <v>224</v>
      </c>
      <c r="G70" s="135">
        <f>'Farm Parameters'!$D$10</f>
        <v>11</v>
      </c>
      <c r="H70" s="122"/>
      <c r="I70" s="72">
        <f>IF(ISERROR(J70/($D$63+$D$64)),0,J70/($D$63+$D$64))</f>
        <v>0.73333333333333328</v>
      </c>
      <c r="J70" s="73">
        <f>K70/$D$5</f>
        <v>1.1733333333333333</v>
      </c>
      <c r="K70" s="136">
        <f>G70*E70*F70/D70</f>
        <v>164.26666666666668</v>
      </c>
    </row>
    <row r="71" spans="2:13" x14ac:dyDescent="0.3">
      <c r="B71" s="65" t="s">
        <v>93</v>
      </c>
      <c r="C71" s="66"/>
      <c r="D71" s="137">
        <v>90</v>
      </c>
      <c r="E71" s="138">
        <v>6</v>
      </c>
      <c r="F71" s="139">
        <f>($D$65)*'Price and Yields'!$E$8/'Price and Yields'!$E$6*$D$5</f>
        <v>32.200000000000003</v>
      </c>
      <c r="G71" s="140">
        <f>'Farm Parameters'!$D$10</f>
        <v>11</v>
      </c>
      <c r="H71" s="122"/>
      <c r="I71" s="72">
        <f>IF(ISERROR(J71/($D$65)),0,J71/($D$65))</f>
        <v>0.42166666666666669</v>
      </c>
      <c r="J71" s="73">
        <f>K71/$D$5</f>
        <v>0.16866666666666669</v>
      </c>
      <c r="K71" s="136">
        <f>G71*E71*F71/D71</f>
        <v>23.613333333333337</v>
      </c>
    </row>
    <row r="72" spans="2:13" x14ac:dyDescent="0.3">
      <c r="B72" s="65" t="s">
        <v>94</v>
      </c>
      <c r="C72" s="66"/>
      <c r="D72" s="122"/>
      <c r="E72" s="122"/>
      <c r="F72" s="122"/>
      <c r="G72" s="122"/>
      <c r="H72" s="122"/>
      <c r="I72" s="306">
        <f>'Year 1'!$I$72</f>
        <v>1.35E-2</v>
      </c>
      <c r="J72" s="136">
        <f>K72/$D$5</f>
        <v>2.7E-2</v>
      </c>
      <c r="K72" s="136">
        <f>I72*$D$7*$D$5</f>
        <v>3.78</v>
      </c>
    </row>
    <row r="73" spans="2:13" x14ac:dyDescent="0.3">
      <c r="B73" s="65" t="s">
        <v>95</v>
      </c>
      <c r="C73" s="66"/>
      <c r="D73" s="122"/>
      <c r="E73" s="122"/>
      <c r="F73" s="122"/>
      <c r="G73" s="122"/>
      <c r="H73" s="122"/>
      <c r="I73" s="306">
        <f>'Year 1'!$I$73</f>
        <v>0</v>
      </c>
      <c r="J73" s="136">
        <f>K73/$D$5</f>
        <v>0</v>
      </c>
      <c r="K73" s="136">
        <f>I73*$D$7*$D$5</f>
        <v>0</v>
      </c>
    </row>
    <row r="74" spans="2:13" x14ac:dyDescent="0.3">
      <c r="B74" s="65" t="s">
        <v>96</v>
      </c>
      <c r="C74" s="66"/>
      <c r="D74" s="122"/>
      <c r="E74" s="122"/>
      <c r="F74" s="122"/>
      <c r="G74" s="122"/>
      <c r="H74" s="122"/>
      <c r="I74" s="306">
        <f>'Year 1'!$I$74</f>
        <v>1.65</v>
      </c>
      <c r="J74" s="136">
        <f>I74*(D63+D64)</f>
        <v>2.64</v>
      </c>
      <c r="K74" s="136">
        <f>J74*$D$5</f>
        <v>369.6</v>
      </c>
    </row>
    <row r="75" spans="2:13" x14ac:dyDescent="0.3">
      <c r="B75" s="65" t="s">
        <v>97</v>
      </c>
      <c r="C75" s="66"/>
      <c r="D75" s="122"/>
      <c r="E75" s="122"/>
      <c r="F75" s="122"/>
      <c r="G75" s="122"/>
      <c r="H75" s="122"/>
      <c r="I75" s="306">
        <f>'Year 1'!$I$75</f>
        <v>1.38</v>
      </c>
      <c r="J75" s="136">
        <f>I75*($D$65)*'Price and Yields'!$E$8/'Price and Yields'!$E$6</f>
        <v>0.31739999999999996</v>
      </c>
      <c r="K75" s="136">
        <f>J75*$D$5</f>
        <v>44.435999999999993</v>
      </c>
    </row>
    <row r="76" spans="2:13" x14ac:dyDescent="0.3">
      <c r="B76" s="65" t="s">
        <v>98</v>
      </c>
      <c r="C76" s="66"/>
      <c r="D76" s="122"/>
      <c r="E76" s="122"/>
      <c r="F76" s="122"/>
      <c r="G76" s="122"/>
      <c r="H76" s="122"/>
      <c r="I76" s="306">
        <f>'Year 1'!$I$76</f>
        <v>0.02</v>
      </c>
      <c r="J76" s="136">
        <f>K76/$D$5</f>
        <v>0.04</v>
      </c>
      <c r="K76" s="136">
        <f>I76*$D$7*$D$5</f>
        <v>5.6000000000000005</v>
      </c>
    </row>
    <row r="77" spans="2:13" x14ac:dyDescent="0.3">
      <c r="B77" s="65" t="s">
        <v>99</v>
      </c>
      <c r="C77" s="66"/>
      <c r="D77" s="122"/>
      <c r="E77" s="122"/>
      <c r="F77" s="122"/>
      <c r="G77" s="122"/>
      <c r="H77" s="122"/>
      <c r="I77" s="306">
        <f>'Year 1'!$I$77</f>
        <v>0.05</v>
      </c>
      <c r="J77" s="136">
        <f>K77/$D$5</f>
        <v>0.1</v>
      </c>
      <c r="K77" s="136">
        <f>I77*$D$7*$D$5</f>
        <v>14</v>
      </c>
    </row>
    <row r="78" spans="2:13" x14ac:dyDescent="0.3">
      <c r="B78" s="65" t="s">
        <v>100</v>
      </c>
      <c r="C78" s="144">
        <v>0.125</v>
      </c>
      <c r="D78" s="122"/>
      <c r="E78" s="122"/>
      <c r="F78" s="122"/>
      <c r="G78" s="122"/>
      <c r="H78" s="122"/>
      <c r="I78" s="72">
        <f>C78*'Price and Yields'!$C$16*'Price and Yields'!$E$8</f>
        <v>1.7868750000000002</v>
      </c>
      <c r="J78" s="73">
        <f>I78*(D63+D64+D65)</f>
        <v>3.5737500000000004</v>
      </c>
      <c r="K78" s="136">
        <f>J78*D5</f>
        <v>500.32500000000005</v>
      </c>
    </row>
    <row r="79" spans="2:13" x14ac:dyDescent="0.3">
      <c r="B79" s="74" t="s">
        <v>101</v>
      </c>
      <c r="C79" s="112">
        <v>0.31</v>
      </c>
      <c r="D79" s="124"/>
      <c r="E79" s="124"/>
      <c r="F79" s="124"/>
      <c r="G79" s="124"/>
      <c r="H79" s="124"/>
      <c r="I79" s="81">
        <f>C79</f>
        <v>0.31</v>
      </c>
      <c r="J79" s="82">
        <f>I79*(D63+D64)+I79*(D65*'Price and Yields'!$E$8/'Price and Yields'!$E$6)</f>
        <v>0.56730000000000003</v>
      </c>
      <c r="K79" s="145">
        <f>J79*D5</f>
        <v>79.421999999999997</v>
      </c>
    </row>
    <row r="80" spans="2:13" s="40" customFormat="1" x14ac:dyDescent="0.3">
      <c r="B80" s="146" t="s">
        <v>102</v>
      </c>
      <c r="C80" s="147"/>
      <c r="D80" s="148" t="s">
        <v>103</v>
      </c>
      <c r="E80" s="148"/>
      <c r="F80" s="148"/>
      <c r="G80" s="148"/>
      <c r="H80" s="148"/>
      <c r="I80" s="149"/>
      <c r="J80" s="149"/>
      <c r="K80" s="150"/>
    </row>
    <row r="81" spans="2:11" x14ac:dyDescent="0.3">
      <c r="B81" s="56" t="s">
        <v>104</v>
      </c>
      <c r="C81" s="57"/>
      <c r="D81" s="61">
        <v>145</v>
      </c>
      <c r="E81" s="120"/>
      <c r="F81" s="120"/>
      <c r="G81" s="120"/>
      <c r="H81" s="120"/>
      <c r="I81" s="63">
        <f>D81/$D$61</f>
        <v>1.0069444444444444</v>
      </c>
      <c r="J81" s="64">
        <f>I81*($D$63)</f>
        <v>1.6111111111111112</v>
      </c>
      <c r="K81" s="131">
        <f>J81*$D$5</f>
        <v>225.55555555555557</v>
      </c>
    </row>
    <row r="82" spans="2:11" x14ac:dyDescent="0.3">
      <c r="B82" s="65" t="s">
        <v>105</v>
      </c>
      <c r="C82" s="66"/>
      <c r="D82" s="70">
        <v>145</v>
      </c>
      <c r="E82" s="122"/>
      <c r="F82" s="122"/>
      <c r="G82" s="122"/>
      <c r="H82" s="122"/>
      <c r="I82" s="72">
        <f>D82/D61</f>
        <v>1.0069444444444444</v>
      </c>
      <c r="J82" s="73">
        <f>I82*($D$64)</f>
        <v>0</v>
      </c>
      <c r="K82" s="136">
        <f>J82*$D$5</f>
        <v>0</v>
      </c>
    </row>
    <row r="83" spans="2:11" x14ac:dyDescent="0.3">
      <c r="B83" s="74" t="s">
        <v>106</v>
      </c>
      <c r="C83" s="75"/>
      <c r="D83" s="79">
        <v>145</v>
      </c>
      <c r="E83" s="124"/>
      <c r="F83" s="124"/>
      <c r="G83" s="124"/>
      <c r="H83" s="124"/>
      <c r="I83" s="81">
        <f>D83/$D$62</f>
        <v>1.4646464646464648</v>
      </c>
      <c r="J83" s="82">
        <f>I83*($D$65)*'Price and Yields'!$E$8/'Price and Yields'!$E$6</f>
        <v>0.33686868686868693</v>
      </c>
      <c r="K83" s="145">
        <f>J83*$D$5</f>
        <v>47.161616161616173</v>
      </c>
    </row>
    <row r="84" spans="2:11" x14ac:dyDescent="0.3">
      <c r="B84" s="114" t="s">
        <v>107</v>
      </c>
      <c r="C84" s="115"/>
      <c r="D84" s="116"/>
      <c r="E84" s="116"/>
      <c r="F84" s="116"/>
      <c r="G84" s="116"/>
      <c r="H84" s="116"/>
      <c r="I84" s="117">
        <f>SUM(I69:I83)</f>
        <v>10.760577020202021</v>
      </c>
      <c r="J84" s="117">
        <f>SUM(J69:J83)</f>
        <v>12.388763131313132</v>
      </c>
      <c r="K84" s="119">
        <f>SUM(K69:K83)</f>
        <v>1734.4268383838387</v>
      </c>
    </row>
    <row r="86" spans="2:11" x14ac:dyDescent="0.3">
      <c r="B86" s="114" t="s">
        <v>108</v>
      </c>
      <c r="C86" s="115"/>
      <c r="D86" s="116"/>
      <c r="E86" s="116"/>
      <c r="F86" s="116"/>
      <c r="G86" s="116"/>
      <c r="H86" s="116"/>
      <c r="I86" s="117"/>
      <c r="J86" s="117">
        <f>J84+J58</f>
        <v>22.434562559884561</v>
      </c>
      <c r="K86" s="119">
        <f>K84+K58</f>
        <v>3140.8387583838385</v>
      </c>
    </row>
    <row r="87" spans="2:11" x14ac:dyDescent="0.3">
      <c r="B87" s="151" t="s">
        <v>109</v>
      </c>
      <c r="C87" s="152"/>
      <c r="D87" s="153"/>
      <c r="E87" s="153"/>
      <c r="F87" s="153"/>
      <c r="G87" s="153"/>
      <c r="H87" s="153"/>
      <c r="I87" s="154"/>
      <c r="J87" s="154">
        <f>J14-J86</f>
        <v>6.1554374401154455</v>
      </c>
      <c r="K87" s="155">
        <f>K14-K86</f>
        <v>861.76124161616235</v>
      </c>
    </row>
    <row r="88" spans="2:11" x14ac:dyDescent="0.3">
      <c r="D88" s="156"/>
      <c r="E88" s="156"/>
      <c r="F88" s="156"/>
      <c r="G88" s="156"/>
      <c r="H88" s="156"/>
    </row>
    <row r="89" spans="2:11" x14ac:dyDescent="0.3">
      <c r="B89" s="29" t="s">
        <v>110</v>
      </c>
      <c r="D89" s="156"/>
      <c r="E89" s="156"/>
      <c r="F89" s="156"/>
      <c r="G89" s="156"/>
      <c r="H89" s="156"/>
    </row>
    <row r="90" spans="2:11" x14ac:dyDescent="0.3">
      <c r="B90" s="29" t="s">
        <v>111</v>
      </c>
    </row>
  </sheetData>
  <sheetProtection password="8D83" sheet="1" objects="1" scenarios="1"/>
  <phoneticPr fontId="8" type="noConversion"/>
  <printOptions gridLinesSet="0"/>
  <pageMargins left="0.75" right="0.75" top="1" bottom="1" header="0.5" footer="0.5"/>
  <pageSetup paperSize="9" scale="49" orientation="portrait" horizontalDpi="300" verticalDpi="300" r:id="rId1"/>
  <headerFooter alignWithMargins="0">
    <oddHeader>&amp;A</oddHeader>
    <oddFooter>Page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0"/>
  <sheetViews>
    <sheetView showGridLines="0" showRowColHeaders="0" zoomScale="75" workbookViewId="0">
      <selection activeCell="Y29" sqref="Y29"/>
    </sheetView>
  </sheetViews>
  <sheetFormatPr defaultColWidth="11.5546875" defaultRowHeight="15.6" x14ac:dyDescent="0.3"/>
  <cols>
    <col min="1" max="1" width="10.33203125" style="29" customWidth="1"/>
    <col min="2" max="2" width="28.109375" style="29" customWidth="1"/>
    <col min="3" max="3" width="24.88671875" style="30" customWidth="1"/>
    <col min="4" max="8" width="16.33203125" style="30" customWidth="1"/>
    <col min="9" max="11" width="16.33203125" style="32" customWidth="1"/>
    <col min="12" max="16384" width="11.5546875" style="29"/>
  </cols>
  <sheetData>
    <row r="1" spans="1:14" ht="24.6" x14ac:dyDescent="0.4">
      <c r="A1" s="28" t="s">
        <v>114</v>
      </c>
      <c r="D1" s="31"/>
    </row>
    <row r="3" spans="1:14" ht="17.399999999999999" x14ac:dyDescent="0.3">
      <c r="A3" s="33" t="s">
        <v>22</v>
      </c>
    </row>
    <row r="4" spans="1:14" ht="17.399999999999999" x14ac:dyDescent="0.3">
      <c r="A4" s="33"/>
    </row>
    <row r="5" spans="1:14" x14ac:dyDescent="0.3">
      <c r="B5" s="29" t="s">
        <v>23</v>
      </c>
      <c r="D5" s="34">
        <f>'Farm Parameters'!D6</f>
        <v>140</v>
      </c>
    </row>
    <row r="6" spans="1:14" ht="6" customHeight="1" x14ac:dyDescent="0.3">
      <c r="D6" s="35"/>
    </row>
    <row r="7" spans="1:14" x14ac:dyDescent="0.3">
      <c r="B7" s="29" t="s">
        <v>24</v>
      </c>
      <c r="D7" s="36">
        <f>'Price and Yields'!C24</f>
        <v>5</v>
      </c>
    </row>
    <row r="8" spans="1:14" ht="6" customHeight="1" x14ac:dyDescent="0.3"/>
    <row r="9" spans="1:14" x14ac:dyDescent="0.3">
      <c r="B9" s="29" t="s">
        <v>25</v>
      </c>
      <c r="D9" s="37">
        <f>'Price and Yields'!$C$16</f>
        <v>2.4860869565217394</v>
      </c>
    </row>
    <row r="10" spans="1:14" ht="6" customHeight="1" x14ac:dyDescent="0.3">
      <c r="D10" s="32"/>
    </row>
    <row r="11" spans="1:14" x14ac:dyDescent="0.3">
      <c r="B11" s="29" t="s">
        <v>26</v>
      </c>
      <c r="D11" s="38">
        <v>500</v>
      </c>
    </row>
    <row r="12" spans="1:14" x14ac:dyDescent="0.3">
      <c r="D12" s="39"/>
    </row>
    <row r="13" spans="1:14" s="40" customFormat="1" ht="17.399999999999999" x14ac:dyDescent="0.3">
      <c r="A13" s="33" t="s">
        <v>27</v>
      </c>
      <c r="C13" s="30"/>
      <c r="D13" s="41"/>
      <c r="E13" s="41"/>
      <c r="F13" s="41"/>
      <c r="G13" s="30"/>
      <c r="H13" s="41" t="s">
        <v>28</v>
      </c>
      <c r="I13" s="42" t="s">
        <v>29</v>
      </c>
      <c r="J13" s="42" t="s">
        <v>30</v>
      </c>
      <c r="K13" s="42" t="s">
        <v>31</v>
      </c>
      <c r="L13" s="29"/>
      <c r="M13" s="29"/>
      <c r="N13" s="41" t="s">
        <v>32</v>
      </c>
    </row>
    <row r="14" spans="1:14" s="40" customFormat="1" ht="17.399999999999999" x14ac:dyDescent="0.3">
      <c r="A14" s="33"/>
      <c r="B14" s="40" t="s">
        <v>33</v>
      </c>
      <c r="C14" s="41"/>
      <c r="D14" s="30"/>
      <c r="E14" s="30"/>
      <c r="F14" s="30"/>
      <c r="G14" s="30"/>
      <c r="H14" s="43">
        <f>D7*D5</f>
        <v>700</v>
      </c>
      <c r="I14" s="44">
        <f>IF(ISERROR(J14/D7),0,J14/D7)</f>
        <v>14.294999999999998</v>
      </c>
      <c r="J14" s="44">
        <f>K14/D5</f>
        <v>71.474999999999994</v>
      </c>
      <c r="K14" s="44">
        <f>H14*D9*'Price and Yields'!$E$8</f>
        <v>10006.5</v>
      </c>
      <c r="L14" s="29"/>
      <c r="M14" s="29"/>
      <c r="N14" s="41"/>
    </row>
    <row r="15" spans="1:14" ht="6" customHeight="1" x14ac:dyDescent="0.3"/>
    <row r="16" spans="1:14" ht="17.399999999999999" x14ac:dyDescent="0.3">
      <c r="A16" s="45" t="s">
        <v>34</v>
      </c>
    </row>
    <row r="17" spans="1:13" ht="6" customHeight="1" x14ac:dyDescent="0.3">
      <c r="A17" s="45"/>
    </row>
    <row r="18" spans="1:13" s="40" customFormat="1" x14ac:dyDescent="0.3">
      <c r="B18" s="46" t="s">
        <v>35</v>
      </c>
      <c r="C18" s="47"/>
      <c r="D18" s="48" t="s">
        <v>36</v>
      </c>
      <c r="E18" s="48" t="s">
        <v>37</v>
      </c>
      <c r="F18" s="48" t="s">
        <v>38</v>
      </c>
      <c r="G18" s="48" t="s">
        <v>39</v>
      </c>
      <c r="H18" s="48" t="s">
        <v>40</v>
      </c>
      <c r="I18" s="49"/>
      <c r="J18" s="49" t="s">
        <v>30</v>
      </c>
      <c r="K18" s="50" t="s">
        <v>31</v>
      </c>
      <c r="L18" s="29"/>
      <c r="M18" s="29"/>
    </row>
    <row r="19" spans="1:13" x14ac:dyDescent="0.3">
      <c r="B19" s="51" t="s">
        <v>41</v>
      </c>
      <c r="C19" s="52"/>
      <c r="D19" s="53"/>
      <c r="E19" s="53"/>
      <c r="F19" s="53"/>
      <c r="G19" s="53"/>
      <c r="H19" s="53"/>
      <c r="I19" s="54"/>
      <c r="J19" s="54"/>
      <c r="K19" s="55"/>
    </row>
    <row r="20" spans="1:13" x14ac:dyDescent="0.3">
      <c r="B20" s="56" t="s">
        <v>42</v>
      </c>
      <c r="C20" s="57"/>
      <c r="D20" s="58">
        <v>5</v>
      </c>
      <c r="E20" s="59" t="s">
        <v>43</v>
      </c>
      <c r="F20" s="60" t="s">
        <v>44</v>
      </c>
      <c r="G20" s="58">
        <v>1</v>
      </c>
      <c r="H20" s="274">
        <f>'Year 1'!$H$20</f>
        <v>1.65</v>
      </c>
      <c r="I20" s="62"/>
      <c r="J20" s="63">
        <f>K20/$D$5</f>
        <v>5.8928571428571427E-2</v>
      </c>
      <c r="K20" s="64">
        <f>H20*G20*D20</f>
        <v>8.25</v>
      </c>
    </row>
    <row r="21" spans="1:13" x14ac:dyDescent="0.3">
      <c r="B21" s="65" t="s">
        <v>45</v>
      </c>
      <c r="C21" s="66"/>
      <c r="D21" s="67">
        <v>18</v>
      </c>
      <c r="E21" s="68" t="s">
        <v>43</v>
      </c>
      <c r="F21" s="69" t="s">
        <v>44</v>
      </c>
      <c r="G21" s="67">
        <v>0.4</v>
      </c>
      <c r="H21" s="275">
        <f>'Year 1'!$H$21</f>
        <v>3</v>
      </c>
      <c r="I21" s="71"/>
      <c r="J21" s="72">
        <f>K21/$D$5</f>
        <v>0.1542857142857143</v>
      </c>
      <c r="K21" s="73">
        <f>H21*G21*D21</f>
        <v>21.6</v>
      </c>
    </row>
    <row r="22" spans="1:13" x14ac:dyDescent="0.3">
      <c r="B22" s="74" t="s">
        <v>46</v>
      </c>
      <c r="C22" s="75"/>
      <c r="D22" s="76">
        <v>5</v>
      </c>
      <c r="E22" s="77" t="s">
        <v>43</v>
      </c>
      <c r="F22" s="78" t="s">
        <v>44</v>
      </c>
      <c r="G22" s="76">
        <v>0.4</v>
      </c>
      <c r="H22" s="276">
        <f>'Year 1'!$H$22</f>
        <v>1.65</v>
      </c>
      <c r="I22" s="80"/>
      <c r="J22" s="81">
        <f>K22/$D$5</f>
        <v>2.3571428571428573E-2</v>
      </c>
      <c r="K22" s="82">
        <f>H22*G22*D22</f>
        <v>3.3000000000000003</v>
      </c>
    </row>
    <row r="23" spans="1:13" x14ac:dyDescent="0.3">
      <c r="B23" s="83" t="s">
        <v>47</v>
      </c>
      <c r="C23" s="84"/>
      <c r="D23" s="85"/>
      <c r="E23" s="85"/>
      <c r="F23" s="85"/>
      <c r="G23" s="85"/>
      <c r="H23" s="86"/>
      <c r="I23" s="87"/>
      <c r="J23" s="87"/>
      <c r="K23" s="88">
        <f>SUM(K20:K22)</f>
        <v>33.15</v>
      </c>
    </row>
    <row r="24" spans="1:13" x14ac:dyDescent="0.3">
      <c r="B24" s="51" t="s">
        <v>48</v>
      </c>
      <c r="C24" s="52"/>
      <c r="D24" s="53"/>
      <c r="E24" s="53"/>
      <c r="F24" s="53"/>
      <c r="G24" s="53"/>
      <c r="H24" s="89"/>
      <c r="I24" s="54"/>
      <c r="J24" s="54"/>
      <c r="K24" s="55"/>
    </row>
    <row r="25" spans="1:13" x14ac:dyDescent="0.3">
      <c r="B25" s="56" t="s">
        <v>49</v>
      </c>
      <c r="C25" s="57"/>
      <c r="D25" s="58">
        <v>2</v>
      </c>
      <c r="E25" s="59" t="s">
        <v>43</v>
      </c>
      <c r="F25" s="58">
        <v>0.06</v>
      </c>
      <c r="G25" s="90">
        <f>F25*$D$5</f>
        <v>8.4</v>
      </c>
      <c r="H25" s="274">
        <f>'Farm Parameters'!$D$10</f>
        <v>11</v>
      </c>
      <c r="I25" s="62"/>
      <c r="J25" s="63">
        <f>K25/$D$5</f>
        <v>1.32</v>
      </c>
      <c r="K25" s="64">
        <f>H25*G25*D25</f>
        <v>184.8</v>
      </c>
    </row>
    <row r="26" spans="1:13" x14ac:dyDescent="0.3">
      <c r="B26" s="65" t="s">
        <v>50</v>
      </c>
      <c r="C26" s="66"/>
      <c r="D26" s="67">
        <v>0</v>
      </c>
      <c r="E26" s="68" t="s">
        <v>43</v>
      </c>
      <c r="F26" s="67">
        <v>0.5</v>
      </c>
      <c r="G26" s="91">
        <f>F26*$D$5</f>
        <v>70</v>
      </c>
      <c r="H26" s="275">
        <f>H25</f>
        <v>11</v>
      </c>
      <c r="I26" s="71"/>
      <c r="J26" s="72">
        <f>K26/$D$5</f>
        <v>0</v>
      </c>
      <c r="K26" s="73">
        <f>H26*G26*D26</f>
        <v>0</v>
      </c>
    </row>
    <row r="27" spans="1:13" x14ac:dyDescent="0.3">
      <c r="B27" s="74" t="s">
        <v>51</v>
      </c>
      <c r="C27" s="75"/>
      <c r="D27" s="76">
        <v>1</v>
      </c>
      <c r="E27" s="77" t="s">
        <v>43</v>
      </c>
      <c r="F27" s="76">
        <v>0.17</v>
      </c>
      <c r="G27" s="92">
        <f>F27*$D$5</f>
        <v>23.8</v>
      </c>
      <c r="H27" s="276">
        <f>H25</f>
        <v>11</v>
      </c>
      <c r="I27" s="80"/>
      <c r="J27" s="81">
        <f>K27/$D$5</f>
        <v>1.87</v>
      </c>
      <c r="K27" s="82">
        <f>H27*G27*D27</f>
        <v>261.8</v>
      </c>
    </row>
    <row r="28" spans="1:13" x14ac:dyDescent="0.3">
      <c r="B28" s="83" t="s">
        <v>47</v>
      </c>
      <c r="C28" s="84"/>
      <c r="D28" s="85"/>
      <c r="E28" s="85"/>
      <c r="F28" s="85"/>
      <c r="G28" s="85"/>
      <c r="H28" s="86"/>
      <c r="I28" s="87"/>
      <c r="J28" s="87"/>
      <c r="K28" s="88">
        <f>SUM(K25:K27)</f>
        <v>446.6</v>
      </c>
    </row>
    <row r="29" spans="1:13" x14ac:dyDescent="0.3">
      <c r="B29" s="51" t="s">
        <v>46</v>
      </c>
      <c r="C29" s="52"/>
      <c r="D29" s="53"/>
      <c r="E29" s="53"/>
      <c r="F29" s="53"/>
      <c r="G29" s="53"/>
      <c r="H29" s="277"/>
      <c r="I29" s="54"/>
      <c r="J29" s="54"/>
      <c r="K29" s="55"/>
    </row>
    <row r="30" spans="1:13" x14ac:dyDescent="0.3">
      <c r="B30" s="56" t="s">
        <v>52</v>
      </c>
      <c r="C30" s="57"/>
      <c r="D30" s="58">
        <v>0</v>
      </c>
      <c r="E30" s="59" t="s">
        <v>53</v>
      </c>
      <c r="F30" s="58">
        <v>0.1</v>
      </c>
      <c r="G30" s="60">
        <f t="shared" ref="G30:G37" si="0">F30*$D$5</f>
        <v>14</v>
      </c>
      <c r="H30" s="274">
        <f>'Year 1'!$H$30</f>
        <v>0.47</v>
      </c>
      <c r="I30" s="62"/>
      <c r="J30" s="64">
        <f t="shared" ref="J30:J37" si="1">K30/$D$5</f>
        <v>0</v>
      </c>
      <c r="K30" s="64">
        <f t="shared" ref="K30:K37" si="2">H30*G30*D30</f>
        <v>0</v>
      </c>
    </row>
    <row r="31" spans="1:13" x14ac:dyDescent="0.3">
      <c r="B31" s="65" t="s">
        <v>54</v>
      </c>
      <c r="C31" s="66"/>
      <c r="D31" s="67">
        <v>3</v>
      </c>
      <c r="E31" s="68" t="s">
        <v>53</v>
      </c>
      <c r="F31" s="67">
        <v>0.44</v>
      </c>
      <c r="G31" s="69">
        <f t="shared" si="0"/>
        <v>61.6</v>
      </c>
      <c r="H31" s="275">
        <f>'Year 1'!$H$31</f>
        <v>0.53</v>
      </c>
      <c r="I31" s="71"/>
      <c r="J31" s="73">
        <f t="shared" si="1"/>
        <v>0.69960000000000011</v>
      </c>
      <c r="K31" s="73">
        <f t="shared" si="2"/>
        <v>97.944000000000017</v>
      </c>
    </row>
    <row r="32" spans="1:13" x14ac:dyDescent="0.3">
      <c r="B32" s="65" t="s">
        <v>55</v>
      </c>
      <c r="C32" s="66"/>
      <c r="D32" s="67">
        <v>0</v>
      </c>
      <c r="E32" s="68" t="s">
        <v>56</v>
      </c>
      <c r="F32" s="67">
        <v>0</v>
      </c>
      <c r="G32" s="69">
        <f t="shared" si="0"/>
        <v>0</v>
      </c>
      <c r="H32" s="275">
        <f>'Year 1'!$H$32</f>
        <v>3.0000000000000001E-3</v>
      </c>
      <c r="I32" s="71"/>
      <c r="J32" s="73">
        <f t="shared" si="1"/>
        <v>0</v>
      </c>
      <c r="K32" s="73">
        <f t="shared" si="2"/>
        <v>0</v>
      </c>
    </row>
    <row r="33" spans="2:11" x14ac:dyDescent="0.3">
      <c r="B33" s="65" t="s">
        <v>57</v>
      </c>
      <c r="C33" s="66"/>
      <c r="D33" s="67">
        <v>0</v>
      </c>
      <c r="E33" s="68" t="s">
        <v>58</v>
      </c>
      <c r="F33" s="67">
        <v>0.45</v>
      </c>
      <c r="G33" s="69">
        <f t="shared" si="0"/>
        <v>63</v>
      </c>
      <c r="H33" s="275">
        <f>'Year 1'!$H$33</f>
        <v>1.5</v>
      </c>
      <c r="I33" s="71"/>
      <c r="J33" s="73">
        <f t="shared" si="1"/>
        <v>0</v>
      </c>
      <c r="K33" s="73">
        <f t="shared" si="2"/>
        <v>0</v>
      </c>
    </row>
    <row r="34" spans="2:11" x14ac:dyDescent="0.3">
      <c r="B34" s="65" t="s">
        <v>59</v>
      </c>
      <c r="C34" s="66"/>
      <c r="D34" s="67">
        <v>1</v>
      </c>
      <c r="E34" s="68" t="s">
        <v>53</v>
      </c>
      <c r="F34" s="67">
        <v>0.1</v>
      </c>
      <c r="G34" s="69">
        <f t="shared" si="0"/>
        <v>14</v>
      </c>
      <c r="H34" s="275">
        <f>'Year 1'!$H$34</f>
        <v>0.88</v>
      </c>
      <c r="I34" s="71"/>
      <c r="J34" s="73">
        <f t="shared" si="1"/>
        <v>8.8000000000000009E-2</v>
      </c>
      <c r="K34" s="73">
        <f t="shared" si="2"/>
        <v>12.32</v>
      </c>
    </row>
    <row r="35" spans="2:11" x14ac:dyDescent="0.3">
      <c r="B35" s="65" t="s">
        <v>60</v>
      </c>
      <c r="C35" s="66"/>
      <c r="D35" s="67">
        <v>1</v>
      </c>
      <c r="E35" s="68" t="s">
        <v>53</v>
      </c>
      <c r="F35" s="67">
        <v>0.3</v>
      </c>
      <c r="G35" s="69">
        <f t="shared" si="0"/>
        <v>42</v>
      </c>
      <c r="H35" s="275">
        <f>'Year 1'!$H$35</f>
        <v>1</v>
      </c>
      <c r="I35" s="71"/>
      <c r="J35" s="73">
        <f t="shared" si="1"/>
        <v>0.3</v>
      </c>
      <c r="K35" s="73">
        <f t="shared" si="2"/>
        <v>42</v>
      </c>
    </row>
    <row r="36" spans="2:11" x14ac:dyDescent="0.3">
      <c r="B36" s="65" t="s">
        <v>61</v>
      </c>
      <c r="C36" s="66"/>
      <c r="D36" s="67">
        <v>2</v>
      </c>
      <c r="E36" s="68" t="s">
        <v>53</v>
      </c>
      <c r="F36" s="67">
        <v>2.5000000000000001E-2</v>
      </c>
      <c r="G36" s="69">
        <f t="shared" si="0"/>
        <v>3.5</v>
      </c>
      <c r="H36" s="275">
        <f>'Year 1'!$H$36</f>
        <v>2.7792000000000003</v>
      </c>
      <c r="I36" s="71"/>
      <c r="J36" s="73">
        <f t="shared" si="1"/>
        <v>0.13896000000000003</v>
      </c>
      <c r="K36" s="73">
        <f t="shared" si="2"/>
        <v>19.454400000000003</v>
      </c>
    </row>
    <row r="37" spans="2:11" x14ac:dyDescent="0.3">
      <c r="B37" s="74" t="s">
        <v>62</v>
      </c>
      <c r="C37" s="75"/>
      <c r="D37" s="76">
        <v>1</v>
      </c>
      <c r="E37" s="68" t="s">
        <v>53</v>
      </c>
      <c r="F37" s="76">
        <v>0.2</v>
      </c>
      <c r="G37" s="78">
        <f t="shared" si="0"/>
        <v>28</v>
      </c>
      <c r="H37" s="276">
        <f>'Year 1'!$H$37</f>
        <v>0.14000000000000001</v>
      </c>
      <c r="I37" s="80"/>
      <c r="J37" s="82">
        <f t="shared" si="1"/>
        <v>2.8000000000000004E-2</v>
      </c>
      <c r="K37" s="82">
        <f t="shared" si="2"/>
        <v>3.9200000000000004</v>
      </c>
    </row>
    <row r="38" spans="2:11" x14ac:dyDescent="0.3">
      <c r="B38" s="83" t="s">
        <v>47</v>
      </c>
      <c r="C38" s="84"/>
      <c r="D38" s="85"/>
      <c r="E38" s="85"/>
      <c r="F38" s="85"/>
      <c r="G38" s="85"/>
      <c r="H38" s="284"/>
      <c r="I38" s="87"/>
      <c r="J38" s="87"/>
      <c r="K38" s="88">
        <f>SUM(K30:K37)</f>
        <v>175.63839999999999</v>
      </c>
    </row>
    <row r="39" spans="2:11" x14ac:dyDescent="0.3">
      <c r="B39" s="51" t="s">
        <v>63</v>
      </c>
      <c r="C39" s="52"/>
      <c r="D39" s="53"/>
      <c r="E39" s="53"/>
      <c r="F39" s="53"/>
      <c r="G39" s="53"/>
      <c r="H39" s="277"/>
      <c r="I39" s="54"/>
      <c r="J39" s="54"/>
      <c r="K39" s="55"/>
    </row>
    <row r="40" spans="2:11" x14ac:dyDescent="0.3">
      <c r="B40" s="56" t="s">
        <v>64</v>
      </c>
      <c r="C40" s="57"/>
      <c r="D40" s="58">
        <v>5</v>
      </c>
      <c r="E40" s="59" t="s">
        <v>56</v>
      </c>
      <c r="F40" s="285">
        <v>8.0000000000000002E-3</v>
      </c>
      <c r="G40" s="90">
        <f>F40*$D$5</f>
        <v>1.1200000000000001</v>
      </c>
      <c r="H40" s="274">
        <f>'Year 1'!$H$40</f>
        <v>9.75</v>
      </c>
      <c r="I40" s="62"/>
      <c r="J40" s="63">
        <f>K40/$D$5</f>
        <v>0.39000000000000007</v>
      </c>
      <c r="K40" s="64">
        <f>H40*G40*D40</f>
        <v>54.600000000000009</v>
      </c>
    </row>
    <row r="41" spans="2:11" x14ac:dyDescent="0.3">
      <c r="B41" s="96" t="s">
        <v>65</v>
      </c>
      <c r="C41" s="66"/>
      <c r="D41" s="67">
        <v>0</v>
      </c>
      <c r="E41" s="68" t="s">
        <v>56</v>
      </c>
      <c r="F41" s="287">
        <v>0.03</v>
      </c>
      <c r="G41" s="91">
        <f>F41*$D$5</f>
        <v>4.2</v>
      </c>
      <c r="H41" s="275">
        <f>'Year 1'!$H$41</f>
        <v>0</v>
      </c>
      <c r="I41" s="71"/>
      <c r="J41" s="72">
        <f>K41/$D$5</f>
        <v>0</v>
      </c>
      <c r="K41" s="73">
        <f>H41*G41*D41</f>
        <v>0</v>
      </c>
    </row>
    <row r="42" spans="2:11" x14ac:dyDescent="0.3">
      <c r="B42" s="99" t="s">
        <v>65</v>
      </c>
      <c r="C42" s="75"/>
      <c r="D42" s="76">
        <v>0</v>
      </c>
      <c r="E42" s="77" t="s">
        <v>56</v>
      </c>
      <c r="F42" s="289">
        <v>0.03</v>
      </c>
      <c r="G42" s="92">
        <f>F42*$D$5</f>
        <v>4.2</v>
      </c>
      <c r="H42" s="276">
        <f>'Year 1'!$H$42</f>
        <v>0</v>
      </c>
      <c r="I42" s="80"/>
      <c r="J42" s="81">
        <f>K42/$D$5</f>
        <v>0</v>
      </c>
      <c r="K42" s="82">
        <f>H42*G42*D42</f>
        <v>0</v>
      </c>
    </row>
    <row r="43" spans="2:11" x14ac:dyDescent="0.3">
      <c r="B43" s="83" t="s">
        <v>47</v>
      </c>
      <c r="C43" s="84"/>
      <c r="D43" s="85"/>
      <c r="E43" s="85"/>
      <c r="F43" s="85"/>
      <c r="G43" s="85"/>
      <c r="H43" s="284"/>
      <c r="I43" s="87"/>
      <c r="J43" s="87"/>
      <c r="K43" s="88">
        <f>SUM(K40:K42)</f>
        <v>54.600000000000009</v>
      </c>
    </row>
    <row r="44" spans="2:11" s="40" customFormat="1" x14ac:dyDescent="0.3">
      <c r="B44" s="51" t="s">
        <v>66</v>
      </c>
      <c r="C44" s="52"/>
      <c r="D44" s="53"/>
      <c r="E44" s="53"/>
      <c r="F44" s="53"/>
      <c r="G44" s="53"/>
      <c r="H44" s="89"/>
      <c r="I44" s="54"/>
      <c r="J44" s="54"/>
      <c r="K44" s="55"/>
    </row>
    <row r="45" spans="2:11" x14ac:dyDescent="0.3">
      <c r="B45" s="65" t="s">
        <v>68</v>
      </c>
      <c r="C45" s="291"/>
      <c r="D45" s="58">
        <v>5</v>
      </c>
      <c r="E45" s="68" t="s">
        <v>56</v>
      </c>
      <c r="F45" s="104">
        <f>IF(D45=0,0,$D$11/100*'Year 1'!$C45/$D$5)</f>
        <v>5.3571428571428572E-3</v>
      </c>
      <c r="G45" s="69">
        <f>F45*$D$5</f>
        <v>0.75</v>
      </c>
      <c r="H45" s="275">
        <f>'Year 1'!$H$45</f>
        <v>7.65</v>
      </c>
      <c r="I45" s="71"/>
      <c r="J45" s="73">
        <f>K45/$D$5</f>
        <v>0.20491071428571431</v>
      </c>
      <c r="K45" s="73">
        <f>H45*G45*D45</f>
        <v>28.687500000000004</v>
      </c>
    </row>
    <row r="46" spans="2:11" x14ac:dyDescent="0.3">
      <c r="B46" s="65" t="s">
        <v>69</v>
      </c>
      <c r="C46" s="291"/>
      <c r="D46" s="67">
        <v>4</v>
      </c>
      <c r="E46" s="68" t="s">
        <v>56</v>
      </c>
      <c r="F46" s="104">
        <f>IF(D46=0,0,$D$11/100*'Year 1'!$C46/$D$5)</f>
        <v>3.5714285714285713E-3</v>
      </c>
      <c r="G46" s="69">
        <f>F46*$D$5</f>
        <v>0.5</v>
      </c>
      <c r="H46" s="275">
        <f>'Year 1'!$H$46</f>
        <v>17.82</v>
      </c>
      <c r="I46" s="71"/>
      <c r="J46" s="73">
        <f>K46/$D$5</f>
        <v>0.25457142857142856</v>
      </c>
      <c r="K46" s="73">
        <f>H46*G46*D46</f>
        <v>35.64</v>
      </c>
    </row>
    <row r="47" spans="2:11" x14ac:dyDescent="0.3">
      <c r="B47" s="65" t="s">
        <v>70</v>
      </c>
      <c r="C47" s="291"/>
      <c r="D47" s="67">
        <v>2</v>
      </c>
      <c r="E47" s="68" t="s">
        <v>56</v>
      </c>
      <c r="F47" s="104">
        <f>IF(D47=0,0,$D$11/100*'Year 1'!$C47/$D$5)</f>
        <v>1.3571428571428571E-3</v>
      </c>
      <c r="G47" s="69">
        <f>F47*$D$5</f>
        <v>0.19</v>
      </c>
      <c r="H47" s="275">
        <f>'Year 1'!$H$47</f>
        <v>82.72</v>
      </c>
      <c r="I47" s="71"/>
      <c r="J47" s="73">
        <f>K47/$D$5</f>
        <v>0.22452571428571427</v>
      </c>
      <c r="K47" s="73">
        <f>H47*G47*D47</f>
        <v>31.433599999999998</v>
      </c>
    </row>
    <row r="48" spans="2:11" x14ac:dyDescent="0.3">
      <c r="B48" s="65" t="s">
        <v>71</v>
      </c>
      <c r="C48" s="291"/>
      <c r="D48" s="76">
        <v>2</v>
      </c>
      <c r="E48" s="68" t="s">
        <v>56</v>
      </c>
      <c r="F48" s="104">
        <f>IF(D48=0,0,$D$11/100*'Year 1'!$C48/$D$5)</f>
        <v>2.6785714285714286E-3</v>
      </c>
      <c r="G48" s="69">
        <f>F48*$D$5</f>
        <v>0.375</v>
      </c>
      <c r="H48" s="275">
        <f>'Year 1'!$H$48</f>
        <v>8.1999999999999993</v>
      </c>
      <c r="I48" s="71"/>
      <c r="J48" s="73">
        <f>K48/$D$5</f>
        <v>4.3928571428571428E-2</v>
      </c>
      <c r="K48" s="73">
        <f>H48*G48*D48</f>
        <v>6.1499999999999995</v>
      </c>
    </row>
    <row r="49" spans="2:11" x14ac:dyDescent="0.3">
      <c r="B49" s="83" t="s">
        <v>47</v>
      </c>
      <c r="C49" s="84"/>
      <c r="D49" s="85"/>
      <c r="E49" s="85"/>
      <c r="F49" s="85"/>
      <c r="G49" s="85"/>
      <c r="H49" s="86"/>
      <c r="I49" s="87"/>
      <c r="J49" s="87"/>
      <c r="K49" s="88">
        <f>SUM(K45:K48)</f>
        <v>101.9111</v>
      </c>
    </row>
    <row r="50" spans="2:11" x14ac:dyDescent="0.3">
      <c r="B50" s="51" t="s">
        <v>72</v>
      </c>
      <c r="C50" s="52"/>
      <c r="D50" s="53"/>
      <c r="E50" s="53"/>
      <c r="F50" s="53"/>
      <c r="G50" s="53"/>
      <c r="H50" s="277"/>
      <c r="I50" s="54"/>
      <c r="J50" s="54"/>
      <c r="K50" s="55"/>
    </row>
    <row r="51" spans="2:11" x14ac:dyDescent="0.3">
      <c r="B51" s="56" t="s">
        <v>73</v>
      </c>
      <c r="C51" s="294"/>
      <c r="D51" s="295">
        <v>11</v>
      </c>
      <c r="E51" s="68" t="s">
        <v>53</v>
      </c>
      <c r="F51" s="104">
        <f>IF(D51=0,0,$D$11/100*'Year 1'!$C51/$D$5)</f>
        <v>7.1428571428571426E-3</v>
      </c>
      <c r="G51" s="90">
        <f>F51*$D$5</f>
        <v>1</v>
      </c>
      <c r="H51" s="274">
        <f>'Year 1'!$H$51</f>
        <v>6.33</v>
      </c>
      <c r="I51" s="62"/>
      <c r="J51" s="63">
        <f>K51/$D$5</f>
        <v>0.49735714285714283</v>
      </c>
      <c r="K51" s="64">
        <f>H51*G51*D51</f>
        <v>69.63</v>
      </c>
    </row>
    <row r="52" spans="2:11" x14ac:dyDescent="0.3">
      <c r="B52" s="96" t="s">
        <v>74</v>
      </c>
      <c r="C52" s="296"/>
      <c r="D52" s="297">
        <v>2</v>
      </c>
      <c r="E52" s="68" t="s">
        <v>56</v>
      </c>
      <c r="F52" s="109">
        <v>0.06</v>
      </c>
      <c r="G52" s="91">
        <f>F52*$D$5</f>
        <v>8.4</v>
      </c>
      <c r="H52" s="275">
        <f>'Year 1'!$H$52</f>
        <v>2.2000000000000002</v>
      </c>
      <c r="I52" s="71"/>
      <c r="J52" s="72">
        <f>K52/$D$5</f>
        <v>0.26400000000000007</v>
      </c>
      <c r="K52" s="73">
        <f>H52*G52*D52</f>
        <v>36.960000000000008</v>
      </c>
    </row>
    <row r="53" spans="2:11" x14ac:dyDescent="0.3">
      <c r="B53" s="99" t="s">
        <v>65</v>
      </c>
      <c r="C53" s="299"/>
      <c r="D53" s="300">
        <v>0</v>
      </c>
      <c r="E53" s="68" t="s">
        <v>53</v>
      </c>
      <c r="F53" s="104">
        <f>IF(D53=0,0,$D$11/100*'Year 1'!$C53/$D$5)</f>
        <v>0</v>
      </c>
      <c r="G53" s="92">
        <f>F53*$D$5</f>
        <v>0</v>
      </c>
      <c r="H53" s="276">
        <f>'Year 1'!$H$53</f>
        <v>0</v>
      </c>
      <c r="I53" s="80"/>
      <c r="J53" s="81">
        <f>K53/$D$5</f>
        <v>0</v>
      </c>
      <c r="K53" s="82">
        <f>H53*G53*D53</f>
        <v>0</v>
      </c>
    </row>
    <row r="54" spans="2:11" x14ac:dyDescent="0.3">
      <c r="B54" s="83" t="s">
        <v>47</v>
      </c>
      <c r="C54" s="84"/>
      <c r="D54" s="85"/>
      <c r="E54" s="85"/>
      <c r="F54" s="85"/>
      <c r="G54" s="85"/>
      <c r="H54" s="284"/>
      <c r="I54" s="87"/>
      <c r="J54" s="87"/>
      <c r="K54" s="88">
        <f>SUM(K51:K53)</f>
        <v>106.59</v>
      </c>
    </row>
    <row r="55" spans="2:11" x14ac:dyDescent="0.3">
      <c r="B55" s="51" t="s">
        <v>65</v>
      </c>
      <c r="C55" s="52"/>
      <c r="D55" s="53"/>
      <c r="E55" s="53"/>
      <c r="F55" s="53"/>
      <c r="G55" s="53"/>
      <c r="H55" s="277"/>
      <c r="I55" s="54"/>
      <c r="J55" s="54"/>
      <c r="K55" s="55"/>
    </row>
    <row r="56" spans="2:11" x14ac:dyDescent="0.3">
      <c r="B56" s="56" t="s">
        <v>75</v>
      </c>
      <c r="C56" s="57"/>
      <c r="D56" s="60" t="s">
        <v>44</v>
      </c>
      <c r="E56" s="59" t="s">
        <v>76</v>
      </c>
      <c r="F56" s="60" t="s">
        <v>44</v>
      </c>
      <c r="G56" s="111">
        <v>4.6900000000000004</v>
      </c>
      <c r="H56" s="274">
        <f>'Year 1'!$H$56</f>
        <v>30</v>
      </c>
      <c r="I56" s="62"/>
      <c r="J56" s="63">
        <f>K56/$D$5</f>
        <v>1.0050000000000001</v>
      </c>
      <c r="K56" s="64">
        <f>H56*G56</f>
        <v>140.70000000000002</v>
      </c>
    </row>
    <row r="57" spans="2:11" x14ac:dyDescent="0.3">
      <c r="B57" s="99" t="s">
        <v>77</v>
      </c>
      <c r="C57" s="75"/>
      <c r="D57" s="78" t="s">
        <v>44</v>
      </c>
      <c r="E57" s="77" t="s">
        <v>43</v>
      </c>
      <c r="F57" s="78" t="s">
        <v>44</v>
      </c>
      <c r="G57" s="113">
        <v>0</v>
      </c>
      <c r="H57" s="276">
        <f>'Year 1'!$H$57</f>
        <v>11</v>
      </c>
      <c r="I57" s="80"/>
      <c r="J57" s="81">
        <f>K57/$D$5</f>
        <v>0</v>
      </c>
      <c r="K57" s="82">
        <f>H57*G57</f>
        <v>0</v>
      </c>
    </row>
    <row r="58" spans="2:11" x14ac:dyDescent="0.3">
      <c r="B58" s="114" t="s">
        <v>78</v>
      </c>
      <c r="C58" s="115"/>
      <c r="D58" s="116"/>
      <c r="E58" s="116"/>
      <c r="F58" s="116"/>
      <c r="G58" s="116"/>
      <c r="H58" s="116"/>
      <c r="I58" s="117"/>
      <c r="J58" s="117">
        <f>SUM(J20:J57)</f>
        <v>7.5656392857142851</v>
      </c>
      <c r="K58" s="118">
        <f>K57+K56+K54+K49+K43+K38+K28+K23</f>
        <v>1059.1895</v>
      </c>
    </row>
    <row r="59" spans="2:11" x14ac:dyDescent="0.3">
      <c r="C59" s="29"/>
      <c r="D59" s="29"/>
      <c r="E59" s="29"/>
      <c r="F59" s="29"/>
      <c r="G59" s="29"/>
      <c r="H59" s="29"/>
      <c r="I59" s="29"/>
      <c r="J59" s="29"/>
      <c r="K59" s="29"/>
    </row>
    <row r="60" spans="2:11" x14ac:dyDescent="0.3">
      <c r="B60" s="114" t="s">
        <v>79</v>
      </c>
      <c r="C60" s="115"/>
      <c r="D60" s="116"/>
      <c r="E60" s="116"/>
      <c r="F60" s="116"/>
      <c r="G60" s="116"/>
      <c r="H60" s="116"/>
      <c r="I60" s="117"/>
      <c r="J60" s="117"/>
      <c r="K60" s="119"/>
    </row>
    <row r="61" spans="2:11" x14ac:dyDescent="0.3">
      <c r="B61" s="56" t="s">
        <v>80</v>
      </c>
      <c r="C61" s="57"/>
      <c r="D61" s="58">
        <v>144</v>
      </c>
      <c r="E61" s="120"/>
      <c r="F61" s="120"/>
      <c r="G61" s="120"/>
      <c r="H61" s="120"/>
      <c r="I61" s="62"/>
      <c r="J61" s="62"/>
      <c r="K61" s="121"/>
    </row>
    <row r="62" spans="2:11" x14ac:dyDescent="0.3">
      <c r="B62" s="65" t="s">
        <v>81</v>
      </c>
      <c r="C62" s="66"/>
      <c r="D62" s="76">
        <v>99</v>
      </c>
      <c r="E62" s="122"/>
      <c r="F62" s="122"/>
      <c r="G62" s="122"/>
      <c r="H62" s="122"/>
      <c r="I62" s="71"/>
      <c r="J62" s="71"/>
      <c r="K62" s="123"/>
    </row>
    <row r="63" spans="2:11" x14ac:dyDescent="0.3">
      <c r="B63" s="65" t="s">
        <v>82</v>
      </c>
      <c r="C63" s="66"/>
      <c r="D63" s="69">
        <f>'Price and Yields'!$E$11*'Year 4'!$D$7</f>
        <v>4</v>
      </c>
      <c r="E63" s="122" t="s">
        <v>83</v>
      </c>
      <c r="F63" s="122"/>
      <c r="G63" s="122"/>
      <c r="H63" s="122"/>
      <c r="I63" s="71"/>
      <c r="J63" s="71"/>
      <c r="K63" s="123"/>
    </row>
    <row r="64" spans="2:11" x14ac:dyDescent="0.3">
      <c r="B64" s="65" t="s">
        <v>84</v>
      </c>
      <c r="C64" s="66"/>
      <c r="D64" s="69">
        <f>'Price and Yields'!$E$12*'Year 4'!$D$7</f>
        <v>0</v>
      </c>
      <c r="E64" s="122" t="s">
        <v>83</v>
      </c>
      <c r="F64" s="122"/>
      <c r="G64" s="122"/>
      <c r="H64" s="122"/>
      <c r="I64" s="71"/>
      <c r="J64" s="71"/>
      <c r="K64" s="123"/>
    </row>
    <row r="65" spans="2:13" x14ac:dyDescent="0.3">
      <c r="B65" s="65" t="s">
        <v>85</v>
      </c>
      <c r="C65" s="66"/>
      <c r="D65" s="69">
        <f>'Price and Yields'!$E$13*'Year 4'!$D$7</f>
        <v>1</v>
      </c>
      <c r="E65" s="122" t="s">
        <v>83</v>
      </c>
      <c r="F65" s="122"/>
      <c r="G65" s="122"/>
      <c r="H65" s="122"/>
      <c r="I65" s="71"/>
      <c r="J65" s="71"/>
      <c r="K65" s="123"/>
    </row>
    <row r="66" spans="2:13" x14ac:dyDescent="0.3">
      <c r="B66" s="74" t="s">
        <v>86</v>
      </c>
      <c r="C66" s="75"/>
      <c r="D66" s="78">
        <f>'Price and Yields'!E14*'Year 4'!D7</f>
        <v>0</v>
      </c>
      <c r="E66" s="124" t="s">
        <v>83</v>
      </c>
      <c r="F66" s="124"/>
      <c r="G66" s="124"/>
      <c r="H66" s="124"/>
      <c r="I66" s="80"/>
      <c r="J66" s="80"/>
      <c r="K66" s="125"/>
    </row>
    <row r="67" spans="2:13" x14ac:dyDescent="0.3">
      <c r="B67" s="51"/>
      <c r="C67" s="52"/>
      <c r="D67" s="126"/>
      <c r="E67" s="53"/>
      <c r="F67" s="53"/>
      <c r="G67" s="53"/>
      <c r="H67" s="53"/>
      <c r="I67" s="54"/>
      <c r="J67" s="54"/>
      <c r="K67" s="55"/>
    </row>
    <row r="68" spans="2:13" s="40" customFormat="1" ht="15.75" customHeight="1" x14ac:dyDescent="0.3">
      <c r="B68" s="114" t="s">
        <v>87</v>
      </c>
      <c r="C68" s="47"/>
      <c r="D68" s="48" t="s">
        <v>88</v>
      </c>
      <c r="E68" s="48" t="s">
        <v>89</v>
      </c>
      <c r="F68" s="48" t="s">
        <v>28</v>
      </c>
      <c r="G68" s="48" t="s">
        <v>90</v>
      </c>
      <c r="H68" s="48"/>
      <c r="I68" s="49" t="s">
        <v>29</v>
      </c>
      <c r="J68" s="49" t="s">
        <v>30</v>
      </c>
      <c r="K68" s="50" t="s">
        <v>31</v>
      </c>
      <c r="L68" s="29"/>
      <c r="M68" s="29"/>
    </row>
    <row r="69" spans="2:13" x14ac:dyDescent="0.3">
      <c r="B69" s="56" t="s">
        <v>91</v>
      </c>
      <c r="C69" s="57"/>
      <c r="D69" s="127">
        <v>65</v>
      </c>
      <c r="E69" s="128">
        <v>6</v>
      </c>
      <c r="F69" s="129">
        <f>($D$63+$D$64+$D$65+$D$66)*$D$5</f>
        <v>700</v>
      </c>
      <c r="G69" s="130">
        <f>'Farm Parameters'!$D$10</f>
        <v>11</v>
      </c>
      <c r="H69" s="120"/>
      <c r="I69" s="63">
        <f>IF(ISERROR(J69/($D$63+$D$64+$D$65)),0,J69/($D$63+$D$64+$D$65))</f>
        <v>1.0153846153846153</v>
      </c>
      <c r="J69" s="64">
        <f>K69/$D$5</f>
        <v>5.0769230769230766</v>
      </c>
      <c r="K69" s="131">
        <f>G69*E69*F69/D69</f>
        <v>710.76923076923072</v>
      </c>
    </row>
    <row r="70" spans="2:13" x14ac:dyDescent="0.3">
      <c r="B70" s="65" t="s">
        <v>92</v>
      </c>
      <c r="C70" s="66"/>
      <c r="D70" s="132">
        <v>90</v>
      </c>
      <c r="E70" s="133">
        <v>6</v>
      </c>
      <c r="F70" s="134">
        <f>($D$63+$D$64)*$D$5</f>
        <v>560</v>
      </c>
      <c r="G70" s="135">
        <f>'Farm Parameters'!$D$10</f>
        <v>11</v>
      </c>
      <c r="H70" s="122"/>
      <c r="I70" s="72">
        <f>IF(ISERROR(J70/($D$63+$D$64)),0,J70/($D$63+$D$64))</f>
        <v>0.73333333333333339</v>
      </c>
      <c r="J70" s="73">
        <f>K70/$D$5</f>
        <v>2.9333333333333336</v>
      </c>
      <c r="K70" s="136">
        <f>G70*E70*F70/D70</f>
        <v>410.66666666666669</v>
      </c>
    </row>
    <row r="71" spans="2:13" x14ac:dyDescent="0.3">
      <c r="B71" s="65" t="s">
        <v>93</v>
      </c>
      <c r="C71" s="66"/>
      <c r="D71" s="137">
        <v>90</v>
      </c>
      <c r="E71" s="138">
        <v>6</v>
      </c>
      <c r="F71" s="139">
        <f>($D$65)*'Price and Yields'!$E$8/'Price and Yields'!$E$6*$D$5</f>
        <v>80.5</v>
      </c>
      <c r="G71" s="140">
        <f>'Farm Parameters'!$D$10</f>
        <v>11</v>
      </c>
      <c r="H71" s="122"/>
      <c r="I71" s="72">
        <f>IF(ISERROR(J71/($D$65)),0,J71/($D$65))</f>
        <v>0.42166666666666663</v>
      </c>
      <c r="J71" s="73">
        <f>K71/$D$5</f>
        <v>0.42166666666666663</v>
      </c>
      <c r="K71" s="136">
        <f>G71*E71*F71/D71</f>
        <v>59.033333333333331</v>
      </c>
    </row>
    <row r="72" spans="2:13" x14ac:dyDescent="0.3">
      <c r="B72" s="65" t="s">
        <v>94</v>
      </c>
      <c r="C72" s="66"/>
      <c r="D72" s="122"/>
      <c r="E72" s="122"/>
      <c r="F72" s="122"/>
      <c r="G72" s="122"/>
      <c r="H72" s="122"/>
      <c r="I72" s="306">
        <f>'Year 1'!$I$72</f>
        <v>1.35E-2</v>
      </c>
      <c r="J72" s="136">
        <f>K72/$D$5</f>
        <v>6.7500000000000004E-2</v>
      </c>
      <c r="K72" s="136">
        <f>I72*$D$7*$D$5</f>
        <v>9.4500000000000011</v>
      </c>
    </row>
    <row r="73" spans="2:13" x14ac:dyDescent="0.3">
      <c r="B73" s="65" t="s">
        <v>95</v>
      </c>
      <c r="C73" s="66"/>
      <c r="D73" s="122"/>
      <c r="E73" s="122"/>
      <c r="F73" s="122"/>
      <c r="G73" s="122"/>
      <c r="H73" s="122"/>
      <c r="I73" s="306">
        <f>'Year 1'!$I$73</f>
        <v>0</v>
      </c>
      <c r="J73" s="136">
        <f>K73/$D$5</f>
        <v>0</v>
      </c>
      <c r="K73" s="136">
        <f>I73*$D$7*$D$5</f>
        <v>0</v>
      </c>
    </row>
    <row r="74" spans="2:13" x14ac:dyDescent="0.3">
      <c r="B74" s="65" t="s">
        <v>96</v>
      </c>
      <c r="C74" s="66"/>
      <c r="D74" s="122"/>
      <c r="E74" s="122"/>
      <c r="F74" s="122"/>
      <c r="G74" s="122"/>
      <c r="H74" s="122"/>
      <c r="I74" s="306">
        <f>'Year 1'!$I$74</f>
        <v>1.65</v>
      </c>
      <c r="J74" s="136">
        <f>I74*(D63+D64)</f>
        <v>6.6</v>
      </c>
      <c r="K74" s="136">
        <f>J74*$D$5</f>
        <v>924</v>
      </c>
    </row>
    <row r="75" spans="2:13" x14ac:dyDescent="0.3">
      <c r="B75" s="65" t="s">
        <v>97</v>
      </c>
      <c r="C75" s="66"/>
      <c r="D75" s="122"/>
      <c r="E75" s="122"/>
      <c r="F75" s="122"/>
      <c r="G75" s="122"/>
      <c r="H75" s="122"/>
      <c r="I75" s="306">
        <f>'Year 1'!$I$75</f>
        <v>1.38</v>
      </c>
      <c r="J75" s="136">
        <f>I75*($D$65)*'Price and Yields'!$E$8/'Price and Yields'!$E$6</f>
        <v>0.79349999999999998</v>
      </c>
      <c r="K75" s="136">
        <f>J75*$D$5</f>
        <v>111.09</v>
      </c>
    </row>
    <row r="76" spans="2:13" x14ac:dyDescent="0.3">
      <c r="B76" s="65" t="s">
        <v>98</v>
      </c>
      <c r="C76" s="66"/>
      <c r="D76" s="122"/>
      <c r="E76" s="122"/>
      <c r="F76" s="122"/>
      <c r="G76" s="122"/>
      <c r="H76" s="122"/>
      <c r="I76" s="306">
        <f>'Year 1'!$I$76</f>
        <v>0.02</v>
      </c>
      <c r="J76" s="136">
        <f>K76/$D$5</f>
        <v>0.1</v>
      </c>
      <c r="K76" s="136">
        <f>I76*$D$7*$D$5</f>
        <v>14</v>
      </c>
    </row>
    <row r="77" spans="2:13" x14ac:dyDescent="0.3">
      <c r="B77" s="65" t="s">
        <v>99</v>
      </c>
      <c r="C77" s="66"/>
      <c r="D77" s="122"/>
      <c r="E77" s="122"/>
      <c r="F77" s="122"/>
      <c r="G77" s="122"/>
      <c r="H77" s="122"/>
      <c r="I77" s="306">
        <f>'Year 1'!$I$77</f>
        <v>0.05</v>
      </c>
      <c r="J77" s="136">
        <f>K77/$D$5</f>
        <v>0.25</v>
      </c>
      <c r="K77" s="136">
        <f>I77*$D$7*$D$5</f>
        <v>35</v>
      </c>
    </row>
    <row r="78" spans="2:13" x14ac:dyDescent="0.3">
      <c r="B78" s="65" t="s">
        <v>100</v>
      </c>
      <c r="C78" s="144">
        <v>0.125</v>
      </c>
      <c r="D78" s="122"/>
      <c r="E78" s="122"/>
      <c r="F78" s="122"/>
      <c r="G78" s="122"/>
      <c r="H78" s="122"/>
      <c r="I78" s="72">
        <f>C78*'Price and Yields'!$C$16*'Price and Yields'!$E$8</f>
        <v>1.7868750000000002</v>
      </c>
      <c r="J78" s="73">
        <f>I78*(D63+D64+D65)</f>
        <v>8.9343750000000011</v>
      </c>
      <c r="K78" s="136">
        <f>J78*D5</f>
        <v>1250.8125000000002</v>
      </c>
    </row>
    <row r="79" spans="2:13" x14ac:dyDescent="0.3">
      <c r="B79" s="74" t="s">
        <v>101</v>
      </c>
      <c r="C79" s="112">
        <v>0.31</v>
      </c>
      <c r="D79" s="124"/>
      <c r="E79" s="124"/>
      <c r="F79" s="124"/>
      <c r="G79" s="124"/>
      <c r="H79" s="124"/>
      <c r="I79" s="81">
        <f>C79</f>
        <v>0.31</v>
      </c>
      <c r="J79" s="82">
        <f>I79*(D63+D64)+I79*(D65*'Price and Yields'!$E$8/'Price and Yields'!$E$6)</f>
        <v>1.41825</v>
      </c>
      <c r="K79" s="145">
        <f>J79*D5</f>
        <v>198.55500000000001</v>
      </c>
    </row>
    <row r="80" spans="2:13" s="40" customFormat="1" x14ac:dyDescent="0.3">
      <c r="B80" s="146" t="s">
        <v>102</v>
      </c>
      <c r="C80" s="147"/>
      <c r="D80" s="148" t="s">
        <v>103</v>
      </c>
      <c r="E80" s="148"/>
      <c r="F80" s="148"/>
      <c r="G80" s="148"/>
      <c r="H80" s="148"/>
      <c r="I80" s="149"/>
      <c r="J80" s="149"/>
      <c r="K80" s="150"/>
    </row>
    <row r="81" spans="2:11" x14ac:dyDescent="0.3">
      <c r="B81" s="56" t="s">
        <v>104</v>
      </c>
      <c r="C81" s="57"/>
      <c r="D81" s="61">
        <v>145</v>
      </c>
      <c r="E81" s="120"/>
      <c r="F81" s="120"/>
      <c r="G81" s="120"/>
      <c r="H81" s="120"/>
      <c r="I81" s="63">
        <f>D81/$D$61</f>
        <v>1.0069444444444444</v>
      </c>
      <c r="J81" s="64">
        <f>I81*($D$63)</f>
        <v>4.0277777777777777</v>
      </c>
      <c r="K81" s="131">
        <f>J81*$D$5</f>
        <v>563.88888888888891</v>
      </c>
    </row>
    <row r="82" spans="2:11" x14ac:dyDescent="0.3">
      <c r="B82" s="65" t="s">
        <v>105</v>
      </c>
      <c r="C82" s="66"/>
      <c r="D82" s="70">
        <v>145</v>
      </c>
      <c r="E82" s="122"/>
      <c r="F82" s="122"/>
      <c r="G82" s="122"/>
      <c r="H82" s="122"/>
      <c r="I82" s="72">
        <f>D82/D61</f>
        <v>1.0069444444444444</v>
      </c>
      <c r="J82" s="73">
        <f>I82*($D$64)</f>
        <v>0</v>
      </c>
      <c r="K82" s="136">
        <f>J82*$D$5</f>
        <v>0</v>
      </c>
    </row>
    <row r="83" spans="2:11" x14ac:dyDescent="0.3">
      <c r="B83" s="74" t="s">
        <v>106</v>
      </c>
      <c r="C83" s="75"/>
      <c r="D83" s="79">
        <v>145</v>
      </c>
      <c r="E83" s="124"/>
      <c r="F83" s="124"/>
      <c r="G83" s="124"/>
      <c r="H83" s="124"/>
      <c r="I83" s="81">
        <f>D83/$D$62</f>
        <v>1.4646464646464648</v>
      </c>
      <c r="J83" s="82">
        <f>I83*($D$65)*'Price and Yields'!$E$8/'Price and Yields'!$E$6</f>
        <v>0.84217171717171735</v>
      </c>
      <c r="K83" s="145">
        <f>J83*$D$5</f>
        <v>117.90404040404043</v>
      </c>
    </row>
    <row r="84" spans="2:11" x14ac:dyDescent="0.3">
      <c r="B84" s="114" t="s">
        <v>107</v>
      </c>
      <c r="C84" s="115"/>
      <c r="D84" s="116"/>
      <c r="E84" s="116"/>
      <c r="F84" s="116"/>
      <c r="G84" s="116"/>
      <c r="H84" s="116"/>
      <c r="I84" s="117">
        <f>SUM(I69:I83)</f>
        <v>10.859294968919968</v>
      </c>
      <c r="J84" s="117">
        <f>SUM(J69:J83)</f>
        <v>31.465497571872575</v>
      </c>
      <c r="K84" s="119">
        <f>SUM(K69:K83)</f>
        <v>4405.1696600621608</v>
      </c>
    </row>
    <row r="86" spans="2:11" x14ac:dyDescent="0.3">
      <c r="B86" s="114" t="s">
        <v>108</v>
      </c>
      <c r="C86" s="115"/>
      <c r="D86" s="116"/>
      <c r="E86" s="116"/>
      <c r="F86" s="116"/>
      <c r="G86" s="116"/>
      <c r="H86" s="116"/>
      <c r="I86" s="117"/>
      <c r="J86" s="117">
        <f>J84+J58</f>
        <v>39.031136857586858</v>
      </c>
      <c r="K86" s="119">
        <f>K84+K58</f>
        <v>5464.3591600621603</v>
      </c>
    </row>
    <row r="87" spans="2:11" x14ac:dyDescent="0.3">
      <c r="B87" s="151" t="s">
        <v>109</v>
      </c>
      <c r="C87" s="152"/>
      <c r="D87" s="153"/>
      <c r="E87" s="153"/>
      <c r="F87" s="153"/>
      <c r="G87" s="153"/>
      <c r="H87" s="153"/>
      <c r="I87" s="154"/>
      <c r="J87" s="154">
        <f>J14-J86</f>
        <v>32.443863142413136</v>
      </c>
      <c r="K87" s="155">
        <f>K14-K86</f>
        <v>4542.1408399378397</v>
      </c>
    </row>
    <row r="88" spans="2:11" x14ac:dyDescent="0.3">
      <c r="D88" s="156"/>
      <c r="E88" s="156"/>
      <c r="F88" s="156"/>
      <c r="G88" s="156"/>
      <c r="H88" s="156"/>
    </row>
    <row r="89" spans="2:11" x14ac:dyDescent="0.3">
      <c r="B89" s="29" t="s">
        <v>110</v>
      </c>
      <c r="D89" s="156"/>
      <c r="E89" s="156"/>
      <c r="F89" s="156"/>
      <c r="G89" s="156"/>
      <c r="H89" s="156"/>
    </row>
    <row r="90" spans="2:11" x14ac:dyDescent="0.3">
      <c r="B90" s="29" t="s">
        <v>111</v>
      </c>
    </row>
  </sheetData>
  <sheetProtection password="8D83" sheet="1" objects="1" scenarios="1"/>
  <phoneticPr fontId="8" type="noConversion"/>
  <printOptions gridLinesSet="0"/>
  <pageMargins left="0.75" right="0.75" top="1" bottom="1" header="0.5" footer="0.5"/>
  <pageSetup paperSize="9" scale="49" orientation="portrait" horizontalDpi="300" verticalDpi="300" r:id="rId1"/>
  <headerFooter alignWithMargins="0">
    <oddHeader>&amp;A</oddHeader>
    <oddFooter>Page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showGridLines="0" showRowColHeaders="0" zoomScale="75" workbookViewId="0">
      <selection activeCell="Y29" sqref="Y29"/>
    </sheetView>
  </sheetViews>
  <sheetFormatPr defaultRowHeight="13.2" x14ac:dyDescent="0.25"/>
  <cols>
    <col min="2" max="2" width="28.33203125" customWidth="1"/>
    <col min="3" max="3" width="25" customWidth="1"/>
    <col min="4" max="11" width="16.44140625" customWidth="1"/>
  </cols>
  <sheetData>
    <row r="1" spans="1:11" ht="24.6" x14ac:dyDescent="0.4">
      <c r="A1" s="161" t="s">
        <v>115</v>
      </c>
      <c r="B1" s="2"/>
      <c r="C1" s="162"/>
      <c r="D1" s="163"/>
      <c r="E1" s="162"/>
      <c r="F1" s="162"/>
      <c r="G1" s="162"/>
      <c r="H1" s="162"/>
      <c r="I1" s="164"/>
      <c r="J1" s="164"/>
      <c r="K1" s="164"/>
    </row>
    <row r="2" spans="1:11" ht="15.6" x14ac:dyDescent="0.3">
      <c r="A2" s="2"/>
      <c r="B2" s="2"/>
      <c r="C2" s="162"/>
      <c r="D2" s="162"/>
      <c r="E2" s="162"/>
      <c r="F2" s="162"/>
      <c r="G2" s="162"/>
      <c r="H2" s="162"/>
      <c r="I2" s="164"/>
      <c r="J2" s="164"/>
      <c r="K2" s="164"/>
    </row>
    <row r="3" spans="1:11" ht="17.399999999999999" x14ac:dyDescent="0.3">
      <c r="A3" s="7" t="s">
        <v>22</v>
      </c>
      <c r="B3" s="2"/>
      <c r="C3" s="162"/>
      <c r="D3" s="162"/>
      <c r="E3" s="162"/>
      <c r="F3" s="162"/>
      <c r="G3" s="162"/>
      <c r="H3" s="162"/>
      <c r="I3" s="164"/>
      <c r="J3" s="164"/>
      <c r="K3" s="164"/>
    </row>
    <row r="4" spans="1:11" ht="17.399999999999999" x14ac:dyDescent="0.3">
      <c r="A4" s="7"/>
      <c r="B4" s="2"/>
      <c r="C4" s="162"/>
      <c r="D4" s="162"/>
      <c r="E4" s="162"/>
      <c r="F4" s="162"/>
      <c r="G4" s="162"/>
      <c r="H4" s="162"/>
      <c r="I4" s="164"/>
      <c r="J4" s="164"/>
      <c r="K4" s="164"/>
    </row>
    <row r="5" spans="1:11" ht="15.6" x14ac:dyDescent="0.3">
      <c r="A5" s="2"/>
      <c r="B5" s="2" t="s">
        <v>23</v>
      </c>
      <c r="C5" s="162"/>
      <c r="D5" s="165">
        <f>'Farm Parameters'!D6</f>
        <v>140</v>
      </c>
      <c r="E5" s="162"/>
      <c r="F5" s="162"/>
      <c r="G5" s="162"/>
      <c r="H5" s="162"/>
      <c r="I5" s="164"/>
      <c r="J5" s="164"/>
      <c r="K5" s="164"/>
    </row>
    <row r="6" spans="1:11" ht="6" customHeight="1" x14ac:dyDescent="0.3">
      <c r="A6" s="2"/>
      <c r="B6" s="2"/>
      <c r="C6" s="162"/>
      <c r="D6" s="166"/>
      <c r="E6" s="162"/>
      <c r="F6" s="162"/>
      <c r="G6" s="162"/>
      <c r="H6" s="162"/>
      <c r="I6" s="164"/>
      <c r="J6" s="164"/>
      <c r="K6" s="164"/>
    </row>
    <row r="7" spans="1:11" ht="15.6" x14ac:dyDescent="0.3">
      <c r="A7" s="2"/>
      <c r="B7" s="2" t="s">
        <v>24</v>
      </c>
      <c r="C7" s="162"/>
      <c r="D7" s="167">
        <f>'Price and Yields'!C25</f>
        <v>7</v>
      </c>
      <c r="E7" s="162"/>
      <c r="F7" s="162"/>
      <c r="G7" s="162"/>
      <c r="H7" s="162"/>
      <c r="I7" s="164"/>
      <c r="J7" s="164"/>
      <c r="K7" s="164"/>
    </row>
    <row r="8" spans="1:11" ht="6" customHeight="1" x14ac:dyDescent="0.3">
      <c r="A8" s="2"/>
      <c r="B8" s="2"/>
      <c r="C8" s="162"/>
      <c r="D8" s="162"/>
      <c r="E8" s="162"/>
      <c r="F8" s="162"/>
      <c r="G8" s="162"/>
      <c r="H8" s="162"/>
      <c r="I8" s="164"/>
      <c r="J8" s="164"/>
      <c r="K8" s="164"/>
    </row>
    <row r="9" spans="1:11" ht="15.6" x14ac:dyDescent="0.3">
      <c r="A9" s="2"/>
      <c r="B9" s="2" t="s">
        <v>25</v>
      </c>
      <c r="C9" s="162"/>
      <c r="D9" s="20">
        <f>'Price and Yields'!$C$16</f>
        <v>2.4860869565217394</v>
      </c>
      <c r="E9" s="162"/>
      <c r="F9" s="162"/>
      <c r="G9" s="162"/>
      <c r="H9" s="162"/>
      <c r="I9" s="164"/>
      <c r="J9" s="164"/>
      <c r="K9" s="164"/>
    </row>
    <row r="10" spans="1:11" ht="6" customHeight="1" x14ac:dyDescent="0.3">
      <c r="A10" s="2"/>
      <c r="B10" s="2"/>
      <c r="C10" s="162"/>
      <c r="D10" s="164"/>
      <c r="E10" s="162"/>
      <c r="F10" s="162"/>
      <c r="G10" s="162"/>
      <c r="H10" s="162"/>
      <c r="I10" s="164"/>
      <c r="J10" s="164"/>
      <c r="K10" s="164"/>
    </row>
    <row r="11" spans="1:11" ht="15.6" x14ac:dyDescent="0.3">
      <c r="A11" s="2"/>
      <c r="B11" s="2" t="s">
        <v>26</v>
      </c>
      <c r="C11" s="162"/>
      <c r="D11" s="4">
        <v>700</v>
      </c>
      <c r="E11" s="162"/>
      <c r="F11" s="162"/>
      <c r="G11" s="162"/>
      <c r="H11" s="162"/>
      <c r="I11" s="164"/>
      <c r="J11" s="164"/>
      <c r="K11" s="164"/>
    </row>
    <row r="12" spans="1:11" ht="15.6" x14ac:dyDescent="0.3">
      <c r="A12" s="2"/>
      <c r="B12" s="2"/>
      <c r="C12" s="162"/>
      <c r="D12" s="168"/>
      <c r="E12" s="162"/>
      <c r="F12" s="162"/>
      <c r="G12" s="162"/>
      <c r="H12" s="162"/>
      <c r="I12" s="164"/>
      <c r="J12" s="164"/>
      <c r="K12" s="164"/>
    </row>
    <row r="13" spans="1:11" ht="17.399999999999999" x14ac:dyDescent="0.3">
      <c r="A13" s="7" t="s">
        <v>27</v>
      </c>
      <c r="B13" s="11"/>
      <c r="C13" s="162"/>
      <c r="D13" s="169"/>
      <c r="E13" s="169"/>
      <c r="F13" s="169"/>
      <c r="G13" s="162"/>
      <c r="H13" s="169" t="s">
        <v>28</v>
      </c>
      <c r="I13" s="170" t="s">
        <v>29</v>
      </c>
      <c r="J13" s="170" t="s">
        <v>30</v>
      </c>
      <c r="K13" s="170" t="s">
        <v>31</v>
      </c>
    </row>
    <row r="14" spans="1:11" ht="17.399999999999999" x14ac:dyDescent="0.3">
      <c r="A14" s="7"/>
      <c r="B14" s="11" t="s">
        <v>33</v>
      </c>
      <c r="C14" s="169"/>
      <c r="D14" s="162"/>
      <c r="E14" s="162"/>
      <c r="F14" s="162"/>
      <c r="G14" s="162"/>
      <c r="H14" s="171">
        <f>D7*D5</f>
        <v>980</v>
      </c>
      <c r="I14" s="22">
        <f>IF(ISERROR(J14/D7),0,J14/D7)</f>
        <v>14.295000000000002</v>
      </c>
      <c r="J14" s="22">
        <f>K14/D5</f>
        <v>100.06500000000001</v>
      </c>
      <c r="K14" s="22">
        <f>H14*D9*'Price and Yields'!$E$8</f>
        <v>14009.100000000002</v>
      </c>
    </row>
    <row r="15" spans="1:11" ht="15.6" x14ac:dyDescent="0.3">
      <c r="A15" s="2"/>
      <c r="B15" s="2"/>
      <c r="C15" s="162"/>
      <c r="D15" s="162"/>
      <c r="E15" s="162"/>
      <c r="F15" s="162"/>
      <c r="G15" s="162"/>
      <c r="H15" s="162"/>
      <c r="I15" s="164"/>
      <c r="J15" s="164"/>
      <c r="K15" s="164"/>
    </row>
    <row r="16" spans="1:11" ht="17.399999999999999" x14ac:dyDescent="0.3">
      <c r="A16" s="172" t="s">
        <v>34</v>
      </c>
      <c r="B16" s="2"/>
      <c r="C16" s="162"/>
      <c r="D16" s="162"/>
      <c r="E16" s="162"/>
      <c r="F16" s="162"/>
      <c r="G16" s="162"/>
      <c r="H16" s="162"/>
      <c r="I16" s="164"/>
      <c r="J16" s="164"/>
      <c r="K16" s="164"/>
    </row>
    <row r="17" spans="1:11" ht="6" customHeight="1" x14ac:dyDescent="0.3">
      <c r="A17" s="172"/>
      <c r="B17" s="2"/>
      <c r="C17" s="162"/>
      <c r="D17" s="162"/>
      <c r="E17" s="162"/>
      <c r="F17" s="162"/>
      <c r="G17" s="162"/>
      <c r="H17" s="162"/>
      <c r="I17" s="164"/>
      <c r="J17" s="164"/>
      <c r="K17" s="164"/>
    </row>
    <row r="18" spans="1:11" ht="15.6" x14ac:dyDescent="0.3">
      <c r="A18" s="11"/>
      <c r="B18" s="12" t="s">
        <v>35</v>
      </c>
      <c r="C18" s="14"/>
      <c r="D18" s="173" t="s">
        <v>36</v>
      </c>
      <c r="E18" s="173" t="s">
        <v>37</v>
      </c>
      <c r="F18" s="173" t="s">
        <v>38</v>
      </c>
      <c r="G18" s="173" t="s">
        <v>39</v>
      </c>
      <c r="H18" s="173" t="s">
        <v>40</v>
      </c>
      <c r="I18" s="174"/>
      <c r="J18" s="174" t="s">
        <v>30</v>
      </c>
      <c r="K18" s="175" t="s">
        <v>31</v>
      </c>
    </row>
    <row r="19" spans="1:11" ht="15.6" x14ac:dyDescent="0.3">
      <c r="A19" s="2"/>
      <c r="B19" s="176" t="s">
        <v>41</v>
      </c>
      <c r="C19" s="177"/>
      <c r="D19" s="178"/>
      <c r="E19" s="178"/>
      <c r="F19" s="178"/>
      <c r="G19" s="178"/>
      <c r="H19" s="178"/>
      <c r="I19" s="179"/>
      <c r="J19" s="179"/>
      <c r="K19" s="180"/>
    </row>
    <row r="20" spans="1:11" ht="15.6" x14ac:dyDescent="0.3">
      <c r="A20" s="2"/>
      <c r="B20" s="181" t="s">
        <v>42</v>
      </c>
      <c r="C20" s="182"/>
      <c r="D20" s="183">
        <v>6</v>
      </c>
      <c r="E20" s="184" t="s">
        <v>43</v>
      </c>
      <c r="F20" s="185" t="s">
        <v>44</v>
      </c>
      <c r="G20" s="183">
        <v>1</v>
      </c>
      <c r="H20" s="186">
        <f>'Year 1'!$H$20</f>
        <v>1.65</v>
      </c>
      <c r="I20" s="187"/>
      <c r="J20" s="188">
        <f>K20/$D$5</f>
        <v>7.0714285714285702E-2</v>
      </c>
      <c r="K20" s="189">
        <f>H20*G20*D20</f>
        <v>9.8999999999999986</v>
      </c>
    </row>
    <row r="21" spans="1:11" ht="15.6" x14ac:dyDescent="0.3">
      <c r="A21" s="2"/>
      <c r="B21" s="190" t="s">
        <v>45</v>
      </c>
      <c r="C21" s="191"/>
      <c r="D21" s="192">
        <v>18</v>
      </c>
      <c r="E21" s="193" t="s">
        <v>43</v>
      </c>
      <c r="F21" s="194" t="s">
        <v>44</v>
      </c>
      <c r="G21" s="192">
        <v>0.4</v>
      </c>
      <c r="H21" s="195">
        <f>'Year 1'!$H$21</f>
        <v>3</v>
      </c>
      <c r="I21" s="196"/>
      <c r="J21" s="197">
        <f>K21/$D$5</f>
        <v>0.1542857142857143</v>
      </c>
      <c r="K21" s="198">
        <f>H21*G21*D21</f>
        <v>21.6</v>
      </c>
    </row>
    <row r="22" spans="1:11" ht="15.6" x14ac:dyDescent="0.3">
      <c r="A22" s="2"/>
      <c r="B22" s="199" t="s">
        <v>46</v>
      </c>
      <c r="C22" s="200"/>
      <c r="D22" s="201">
        <v>6</v>
      </c>
      <c r="E22" s="202" t="s">
        <v>43</v>
      </c>
      <c r="F22" s="203" t="s">
        <v>44</v>
      </c>
      <c r="G22" s="201">
        <v>0.4</v>
      </c>
      <c r="H22" s="204">
        <f>'Year 1'!$H$22</f>
        <v>1.65</v>
      </c>
      <c r="I22" s="205"/>
      <c r="J22" s="206">
        <f>K22/$D$5</f>
        <v>2.8285714285714286E-2</v>
      </c>
      <c r="K22" s="207">
        <f>H22*G22*D22</f>
        <v>3.96</v>
      </c>
    </row>
    <row r="23" spans="1:11" ht="15.6" x14ac:dyDescent="0.3">
      <c r="A23" s="2"/>
      <c r="B23" s="21" t="s">
        <v>47</v>
      </c>
      <c r="C23" s="208"/>
      <c r="D23" s="209"/>
      <c r="E23" s="209"/>
      <c r="F23" s="209"/>
      <c r="G23" s="209"/>
      <c r="H23" s="210"/>
      <c r="I23" s="23"/>
      <c r="J23" s="23"/>
      <c r="K23" s="211">
        <f>SUM(K20:K22)</f>
        <v>35.46</v>
      </c>
    </row>
    <row r="24" spans="1:11" ht="15.6" x14ac:dyDescent="0.3">
      <c r="A24" s="2"/>
      <c r="B24" s="176" t="s">
        <v>48</v>
      </c>
      <c r="C24" s="177"/>
      <c r="D24" s="178"/>
      <c r="E24" s="178"/>
      <c r="F24" s="178"/>
      <c r="G24" s="178"/>
      <c r="H24" s="212"/>
      <c r="I24" s="179"/>
      <c r="J24" s="179"/>
      <c r="K24" s="180"/>
    </row>
    <row r="25" spans="1:11" ht="15.6" x14ac:dyDescent="0.3">
      <c r="A25" s="2"/>
      <c r="B25" s="181" t="s">
        <v>49</v>
      </c>
      <c r="C25" s="182"/>
      <c r="D25" s="183">
        <v>2</v>
      </c>
      <c r="E25" s="184" t="s">
        <v>43</v>
      </c>
      <c r="F25" s="183">
        <v>0.06</v>
      </c>
      <c r="G25" s="213">
        <f>F25*$D$5</f>
        <v>8.4</v>
      </c>
      <c r="H25" s="186">
        <f>'Farm Parameters'!$D$10</f>
        <v>11</v>
      </c>
      <c r="I25" s="187"/>
      <c r="J25" s="188">
        <f>K25/$D$5</f>
        <v>1.32</v>
      </c>
      <c r="K25" s="189">
        <f>H25*G25*D25</f>
        <v>184.8</v>
      </c>
    </row>
    <row r="26" spans="1:11" ht="15.6" x14ac:dyDescent="0.3">
      <c r="A26" s="2"/>
      <c r="B26" s="190" t="s">
        <v>50</v>
      </c>
      <c r="C26" s="191"/>
      <c r="D26" s="192">
        <v>0</v>
      </c>
      <c r="E26" s="193" t="s">
        <v>43</v>
      </c>
      <c r="F26" s="192">
        <v>0.5</v>
      </c>
      <c r="G26" s="214">
        <f>F26*$D$5</f>
        <v>70</v>
      </c>
      <c r="H26" s="195">
        <f>H25</f>
        <v>11</v>
      </c>
      <c r="I26" s="196"/>
      <c r="J26" s="197">
        <f>K26/$D$5</f>
        <v>0</v>
      </c>
      <c r="K26" s="198">
        <f>H26*G26*D26</f>
        <v>0</v>
      </c>
    </row>
    <row r="27" spans="1:11" ht="15.6" x14ac:dyDescent="0.3">
      <c r="A27" s="2"/>
      <c r="B27" s="199" t="s">
        <v>51</v>
      </c>
      <c r="C27" s="200"/>
      <c r="D27" s="201">
        <v>1</v>
      </c>
      <c r="E27" s="202" t="s">
        <v>43</v>
      </c>
      <c r="F27" s="201">
        <v>0.25</v>
      </c>
      <c r="G27" s="215">
        <f>F27*$D$5</f>
        <v>35</v>
      </c>
      <c r="H27" s="204">
        <f>H25</f>
        <v>11</v>
      </c>
      <c r="I27" s="205"/>
      <c r="J27" s="206">
        <f>K27/$D$5</f>
        <v>2.75</v>
      </c>
      <c r="K27" s="207">
        <f>H27*G27*D27</f>
        <v>385</v>
      </c>
    </row>
    <row r="28" spans="1:11" ht="15.6" x14ac:dyDescent="0.3">
      <c r="A28" s="2"/>
      <c r="B28" s="21" t="s">
        <v>47</v>
      </c>
      <c r="C28" s="208"/>
      <c r="D28" s="209"/>
      <c r="E28" s="209"/>
      <c r="F28" s="209"/>
      <c r="G28" s="209"/>
      <c r="H28" s="210"/>
      <c r="I28" s="23"/>
      <c r="J28" s="23"/>
      <c r="K28" s="211">
        <f>SUM(K25:K27)</f>
        <v>569.79999999999995</v>
      </c>
    </row>
    <row r="29" spans="1:11" ht="15.6" x14ac:dyDescent="0.3">
      <c r="A29" s="2"/>
      <c r="B29" s="176" t="s">
        <v>46</v>
      </c>
      <c r="C29" s="177"/>
      <c r="D29" s="178"/>
      <c r="E29" s="178"/>
      <c r="F29" s="178"/>
      <c r="G29" s="178"/>
      <c r="H29" s="216"/>
      <c r="I29" s="179"/>
      <c r="J29" s="179"/>
      <c r="K29" s="180"/>
    </row>
    <row r="30" spans="1:11" ht="15.6" x14ac:dyDescent="0.3">
      <c r="A30" s="2"/>
      <c r="B30" s="181" t="s">
        <v>52</v>
      </c>
      <c r="C30" s="182"/>
      <c r="D30" s="183">
        <v>0</v>
      </c>
      <c r="E30" s="184" t="s">
        <v>53</v>
      </c>
      <c r="F30" s="183">
        <v>0.15</v>
      </c>
      <c r="G30" s="185">
        <f>F30*$D$5</f>
        <v>21</v>
      </c>
      <c r="H30" s="186">
        <f>'Year 1'!$H$30</f>
        <v>0.47</v>
      </c>
      <c r="I30" s="187"/>
      <c r="J30" s="189">
        <f t="shared" ref="J30:J37" si="0">K30/$D$5</f>
        <v>0</v>
      </c>
      <c r="K30" s="189">
        <f t="shared" ref="K30:K37" si="1">H30*G30*D30</f>
        <v>0</v>
      </c>
    </row>
    <row r="31" spans="1:11" ht="15.6" x14ac:dyDescent="0.3">
      <c r="A31" s="2"/>
      <c r="B31" s="190" t="s">
        <v>54</v>
      </c>
      <c r="C31" s="191"/>
      <c r="D31" s="192">
        <v>3</v>
      </c>
      <c r="E31" s="193" t="s">
        <v>53</v>
      </c>
      <c r="F31" s="192">
        <v>0.86699999999999999</v>
      </c>
      <c r="G31" s="194">
        <f t="shared" ref="G31:G37" si="2">F31*$D$5</f>
        <v>121.38</v>
      </c>
      <c r="H31" s="195">
        <f>'Year 1'!$H$31</f>
        <v>0.53</v>
      </c>
      <c r="I31" s="196"/>
      <c r="J31" s="198">
        <f t="shared" si="0"/>
        <v>1.37853</v>
      </c>
      <c r="K31" s="198">
        <f t="shared" si="1"/>
        <v>192.99420000000001</v>
      </c>
    </row>
    <row r="32" spans="1:11" ht="15.6" x14ac:dyDescent="0.3">
      <c r="A32" s="2"/>
      <c r="B32" s="190" t="s">
        <v>55</v>
      </c>
      <c r="C32" s="191"/>
      <c r="D32" s="192">
        <v>0</v>
      </c>
      <c r="E32" s="193" t="s">
        <v>56</v>
      </c>
      <c r="F32" s="192">
        <v>0.3</v>
      </c>
      <c r="G32" s="194">
        <f t="shared" si="2"/>
        <v>42</v>
      </c>
      <c r="H32" s="195">
        <f>'Year 1'!$H$32</f>
        <v>3.0000000000000001E-3</v>
      </c>
      <c r="I32" s="196"/>
      <c r="J32" s="198">
        <f t="shared" si="0"/>
        <v>0</v>
      </c>
      <c r="K32" s="198">
        <f t="shared" si="1"/>
        <v>0</v>
      </c>
    </row>
    <row r="33" spans="1:11" ht="15.6" x14ac:dyDescent="0.3">
      <c r="A33" s="2"/>
      <c r="B33" s="190" t="s">
        <v>57</v>
      </c>
      <c r="C33" s="191"/>
      <c r="D33" s="192">
        <v>1</v>
      </c>
      <c r="E33" s="193" t="s">
        <v>58</v>
      </c>
      <c r="F33" s="192">
        <v>4</v>
      </c>
      <c r="G33" s="194">
        <f t="shared" si="2"/>
        <v>560</v>
      </c>
      <c r="H33" s="195">
        <f>'Year 1'!$H$33</f>
        <v>1.5</v>
      </c>
      <c r="I33" s="196"/>
      <c r="J33" s="198">
        <f t="shared" si="0"/>
        <v>6</v>
      </c>
      <c r="K33" s="198">
        <f t="shared" si="1"/>
        <v>840</v>
      </c>
    </row>
    <row r="34" spans="1:11" ht="15.6" x14ac:dyDescent="0.3">
      <c r="A34" s="2"/>
      <c r="B34" s="190" t="s">
        <v>59</v>
      </c>
      <c r="C34" s="191"/>
      <c r="D34" s="192">
        <v>1</v>
      </c>
      <c r="E34" s="193" t="s">
        <v>53</v>
      </c>
      <c r="F34" s="192">
        <v>0.15</v>
      </c>
      <c r="G34" s="194">
        <f t="shared" si="2"/>
        <v>21</v>
      </c>
      <c r="H34" s="195">
        <f>'Year 1'!$H$34</f>
        <v>0.88</v>
      </c>
      <c r="I34" s="196"/>
      <c r="J34" s="198">
        <f t="shared" si="0"/>
        <v>0.13200000000000001</v>
      </c>
      <c r="K34" s="198">
        <f t="shared" si="1"/>
        <v>18.48</v>
      </c>
    </row>
    <row r="35" spans="1:11" ht="15.6" x14ac:dyDescent="0.3">
      <c r="A35" s="2"/>
      <c r="B35" s="190" t="s">
        <v>60</v>
      </c>
      <c r="C35" s="191"/>
      <c r="D35" s="192">
        <v>1</v>
      </c>
      <c r="E35" s="193" t="s">
        <v>53</v>
      </c>
      <c r="F35" s="192">
        <v>0.5</v>
      </c>
      <c r="G35" s="194">
        <f t="shared" si="2"/>
        <v>70</v>
      </c>
      <c r="H35" s="195">
        <f>'Year 1'!$H$35</f>
        <v>1</v>
      </c>
      <c r="I35" s="196"/>
      <c r="J35" s="198">
        <f t="shared" si="0"/>
        <v>0.5</v>
      </c>
      <c r="K35" s="198">
        <f t="shared" si="1"/>
        <v>70</v>
      </c>
    </row>
    <row r="36" spans="1:11" ht="15.6" x14ac:dyDescent="0.3">
      <c r="A36" s="2"/>
      <c r="B36" s="190" t="s">
        <v>61</v>
      </c>
      <c r="C36" s="191"/>
      <c r="D36" s="192">
        <v>2</v>
      </c>
      <c r="E36" s="193" t="s">
        <v>53</v>
      </c>
      <c r="F36" s="192">
        <v>0.1</v>
      </c>
      <c r="G36" s="194">
        <f t="shared" si="2"/>
        <v>14</v>
      </c>
      <c r="H36" s="195">
        <f>'Year 1'!$H$36</f>
        <v>2.7792000000000003</v>
      </c>
      <c r="I36" s="196"/>
      <c r="J36" s="198">
        <f t="shared" si="0"/>
        <v>0.55584000000000011</v>
      </c>
      <c r="K36" s="198">
        <f t="shared" si="1"/>
        <v>77.817600000000013</v>
      </c>
    </row>
    <row r="37" spans="1:11" ht="15.6" x14ac:dyDescent="0.3">
      <c r="A37" s="2"/>
      <c r="B37" s="199" t="s">
        <v>62</v>
      </c>
      <c r="C37" s="200"/>
      <c r="D37" s="201">
        <v>1</v>
      </c>
      <c r="E37" s="193" t="s">
        <v>53</v>
      </c>
      <c r="F37" s="201">
        <v>1</v>
      </c>
      <c r="G37" s="203">
        <f t="shared" si="2"/>
        <v>140</v>
      </c>
      <c r="H37" s="204">
        <f>'Year 1'!$H$37</f>
        <v>0.14000000000000001</v>
      </c>
      <c r="I37" s="205"/>
      <c r="J37" s="207">
        <f t="shared" si="0"/>
        <v>0.14000000000000001</v>
      </c>
      <c r="K37" s="207">
        <f t="shared" si="1"/>
        <v>19.600000000000001</v>
      </c>
    </row>
    <row r="38" spans="1:11" ht="15.6" x14ac:dyDescent="0.3">
      <c r="A38" s="2"/>
      <c r="B38" s="21" t="s">
        <v>47</v>
      </c>
      <c r="C38" s="208"/>
      <c r="D38" s="209"/>
      <c r="E38" s="209"/>
      <c r="F38" s="209"/>
      <c r="G38" s="209"/>
      <c r="H38" s="217"/>
      <c r="I38" s="23"/>
      <c r="J38" s="23"/>
      <c r="K38" s="211">
        <f>SUM(K30:K37)</f>
        <v>1218.8918000000001</v>
      </c>
    </row>
    <row r="39" spans="1:11" ht="15.6" x14ac:dyDescent="0.3">
      <c r="A39" s="2"/>
      <c r="B39" s="176" t="s">
        <v>63</v>
      </c>
      <c r="C39" s="177"/>
      <c r="D39" s="178"/>
      <c r="E39" s="178"/>
      <c r="F39" s="178"/>
      <c r="G39" s="178"/>
      <c r="H39" s="216"/>
      <c r="I39" s="179"/>
      <c r="J39" s="179"/>
      <c r="K39" s="180"/>
    </row>
    <row r="40" spans="1:11" ht="15.6" x14ac:dyDescent="0.3">
      <c r="A40" s="2"/>
      <c r="B40" s="181" t="s">
        <v>64</v>
      </c>
      <c r="C40" s="182"/>
      <c r="D40" s="183">
        <v>5</v>
      </c>
      <c r="E40" s="184" t="s">
        <v>56</v>
      </c>
      <c r="F40" s="218">
        <v>8.0000000000000002E-3</v>
      </c>
      <c r="G40" s="213">
        <f>F40*$D$5</f>
        <v>1.1200000000000001</v>
      </c>
      <c r="H40" s="186">
        <f>'Year 1'!$H$40</f>
        <v>9.75</v>
      </c>
      <c r="I40" s="187"/>
      <c r="J40" s="188">
        <f>K40/$D$5</f>
        <v>0.39000000000000007</v>
      </c>
      <c r="K40" s="189">
        <f>H40*G40*D40</f>
        <v>54.600000000000009</v>
      </c>
    </row>
    <row r="41" spans="1:11" ht="15.6" x14ac:dyDescent="0.3">
      <c r="A41" s="2"/>
      <c r="B41" s="219" t="s">
        <v>65</v>
      </c>
      <c r="C41" s="191"/>
      <c r="D41" s="192">
        <v>0</v>
      </c>
      <c r="E41" s="193" t="s">
        <v>56</v>
      </c>
      <c r="F41" s="220">
        <v>0.03</v>
      </c>
      <c r="G41" s="214">
        <f>F41*$D$5</f>
        <v>4.2</v>
      </c>
      <c r="H41" s="195">
        <f>'Year 1'!$H$41</f>
        <v>0</v>
      </c>
      <c r="I41" s="196"/>
      <c r="J41" s="197">
        <f>K41/$D$5</f>
        <v>0</v>
      </c>
      <c r="K41" s="198">
        <f>H41*G41*D41</f>
        <v>0</v>
      </c>
    </row>
    <row r="42" spans="1:11" ht="15.6" x14ac:dyDescent="0.3">
      <c r="A42" s="2"/>
      <c r="B42" s="221" t="s">
        <v>65</v>
      </c>
      <c r="C42" s="200"/>
      <c r="D42" s="201">
        <v>0</v>
      </c>
      <c r="E42" s="202" t="s">
        <v>56</v>
      </c>
      <c r="F42" s="222">
        <v>0.03</v>
      </c>
      <c r="G42" s="215">
        <f>F42*$D$5</f>
        <v>4.2</v>
      </c>
      <c r="H42" s="204">
        <f>'Year 1'!$H$42</f>
        <v>0</v>
      </c>
      <c r="I42" s="205"/>
      <c r="J42" s="206">
        <f>K42/$D$5</f>
        <v>0</v>
      </c>
      <c r="K42" s="207">
        <f>H42*G42*D42</f>
        <v>0</v>
      </c>
    </row>
    <row r="43" spans="1:11" ht="15.6" x14ac:dyDescent="0.3">
      <c r="A43" s="2"/>
      <c r="B43" s="21" t="s">
        <v>47</v>
      </c>
      <c r="C43" s="208"/>
      <c r="D43" s="209"/>
      <c r="E43" s="209"/>
      <c r="F43" s="209"/>
      <c r="G43" s="209"/>
      <c r="H43" s="217"/>
      <c r="I43" s="23"/>
      <c r="J43" s="23"/>
      <c r="K43" s="211">
        <f>SUM(K40:K42)</f>
        <v>54.600000000000009</v>
      </c>
    </row>
    <row r="44" spans="1:11" ht="15.6" x14ac:dyDescent="0.3">
      <c r="A44" s="11"/>
      <c r="B44" s="176" t="s">
        <v>66</v>
      </c>
      <c r="C44" s="177"/>
      <c r="D44" s="178"/>
      <c r="E44" s="178"/>
      <c r="F44" s="178"/>
      <c r="G44" s="178"/>
      <c r="H44" s="212"/>
      <c r="I44" s="179"/>
      <c r="J44" s="179"/>
      <c r="K44" s="180"/>
    </row>
    <row r="45" spans="1:11" ht="15.6" x14ac:dyDescent="0.3">
      <c r="A45" s="2"/>
      <c r="B45" s="190" t="s">
        <v>68</v>
      </c>
      <c r="C45" s="223"/>
      <c r="D45" s="183">
        <v>7</v>
      </c>
      <c r="E45" s="193" t="s">
        <v>56</v>
      </c>
      <c r="F45" s="224">
        <f>IF(D45=0,0,$D$11/100*'Year 1'!$C45/$D$5)</f>
        <v>7.5000000000000006E-3</v>
      </c>
      <c r="G45" s="194">
        <f>F45*$D$5</f>
        <v>1.05</v>
      </c>
      <c r="H45" s="195">
        <f>'Year 1'!$H$45</f>
        <v>7.65</v>
      </c>
      <c r="I45" s="196"/>
      <c r="J45" s="198">
        <f>K45/$D$5</f>
        <v>0.40162500000000007</v>
      </c>
      <c r="K45" s="198">
        <f>H45*G45*D45</f>
        <v>56.227500000000006</v>
      </c>
    </row>
    <row r="46" spans="1:11" ht="15.6" x14ac:dyDescent="0.3">
      <c r="A46" s="2"/>
      <c r="B46" s="190" t="s">
        <v>69</v>
      </c>
      <c r="C46" s="223"/>
      <c r="D46" s="192">
        <v>4</v>
      </c>
      <c r="E46" s="193" t="s">
        <v>56</v>
      </c>
      <c r="F46" s="224">
        <f>IF(D46=0,0,$D$11/100*'Year 1'!$C46/$D$5)</f>
        <v>5.0000000000000001E-3</v>
      </c>
      <c r="G46" s="194">
        <f>F46*$D$5</f>
        <v>0.70000000000000007</v>
      </c>
      <c r="H46" s="195">
        <f>'Year 1'!$H$46</f>
        <v>17.82</v>
      </c>
      <c r="I46" s="196"/>
      <c r="J46" s="198">
        <f>K46/$D$5</f>
        <v>0.35640000000000005</v>
      </c>
      <c r="K46" s="198">
        <f>H46*G46*D46</f>
        <v>49.896000000000008</v>
      </c>
    </row>
    <row r="47" spans="1:11" ht="15.6" x14ac:dyDescent="0.3">
      <c r="A47" s="2"/>
      <c r="B47" s="190" t="s">
        <v>70</v>
      </c>
      <c r="C47" s="223"/>
      <c r="D47" s="192">
        <v>2</v>
      </c>
      <c r="E47" s="193" t="s">
        <v>56</v>
      </c>
      <c r="F47" s="224">
        <f>IF(D47=0,0,$D$11/100*'Year 1'!$C47/$D$5)</f>
        <v>1.9E-3</v>
      </c>
      <c r="G47" s="194">
        <f>F47*$D$5</f>
        <v>0.26600000000000001</v>
      </c>
      <c r="H47" s="195">
        <f>'Year 1'!$H$47</f>
        <v>82.72</v>
      </c>
      <c r="I47" s="196"/>
      <c r="J47" s="198">
        <f>K47/$D$5</f>
        <v>0.314336</v>
      </c>
      <c r="K47" s="198">
        <f>H47*G47*D47</f>
        <v>44.007040000000003</v>
      </c>
    </row>
    <row r="48" spans="1:11" ht="15.6" x14ac:dyDescent="0.3">
      <c r="A48" s="2"/>
      <c r="B48" s="190" t="s">
        <v>71</v>
      </c>
      <c r="C48" s="223"/>
      <c r="D48" s="201">
        <v>3</v>
      </c>
      <c r="E48" s="193" t="s">
        <v>56</v>
      </c>
      <c r="F48" s="224">
        <f>IF(D48=0,0,$D$11/100*'Year 1'!$C48/$D$5)</f>
        <v>3.7500000000000003E-3</v>
      </c>
      <c r="G48" s="194">
        <f>F48*$D$5</f>
        <v>0.52500000000000002</v>
      </c>
      <c r="H48" s="195">
        <f>'Year 1'!$H$48</f>
        <v>8.1999999999999993</v>
      </c>
      <c r="I48" s="196"/>
      <c r="J48" s="198">
        <f>K48/$D$5</f>
        <v>9.2249999999999999E-2</v>
      </c>
      <c r="K48" s="198">
        <f>H48*G48*D48</f>
        <v>12.914999999999999</v>
      </c>
    </row>
    <row r="49" spans="1:11" ht="15.6" x14ac:dyDescent="0.3">
      <c r="A49" s="2"/>
      <c r="B49" s="21" t="s">
        <v>47</v>
      </c>
      <c r="C49" s="208"/>
      <c r="D49" s="209"/>
      <c r="E49" s="209"/>
      <c r="F49" s="209"/>
      <c r="G49" s="209"/>
      <c r="H49" s="210"/>
      <c r="I49" s="23"/>
      <c r="J49" s="23"/>
      <c r="K49" s="211">
        <f>SUM(K45:K48)</f>
        <v>163.04553999999999</v>
      </c>
    </row>
    <row r="50" spans="1:11" ht="15.6" x14ac:dyDescent="0.3">
      <c r="A50" s="2"/>
      <c r="B50" s="176" t="s">
        <v>72</v>
      </c>
      <c r="C50" s="177"/>
      <c r="D50" s="178"/>
      <c r="E50" s="178"/>
      <c r="F50" s="178"/>
      <c r="G50" s="178"/>
      <c r="H50" s="216"/>
      <c r="I50" s="179"/>
      <c r="J50" s="179"/>
      <c r="K50" s="180"/>
    </row>
    <row r="51" spans="1:11" ht="15.6" x14ac:dyDescent="0.3">
      <c r="A51" s="2"/>
      <c r="B51" s="181" t="s">
        <v>73</v>
      </c>
      <c r="C51" s="225"/>
      <c r="D51" s="226">
        <v>11</v>
      </c>
      <c r="E51" s="193" t="s">
        <v>53</v>
      </c>
      <c r="F51" s="224">
        <f>IF(D51=0,0,$D$11/100*'Year 1'!$C51/$D$5)</f>
        <v>0.01</v>
      </c>
      <c r="G51" s="213">
        <f>F51*$D$5</f>
        <v>1.4000000000000001</v>
      </c>
      <c r="H51" s="186">
        <f>'Year 1'!$H$51</f>
        <v>6.33</v>
      </c>
      <c r="I51" s="187"/>
      <c r="J51" s="188">
        <f>K51/$D$5</f>
        <v>0.69630000000000003</v>
      </c>
      <c r="K51" s="189">
        <f>H51*G51*D51</f>
        <v>97.481999999999999</v>
      </c>
    </row>
    <row r="52" spans="1:11" ht="15.6" x14ac:dyDescent="0.3">
      <c r="A52" s="2"/>
      <c r="B52" s="219" t="s">
        <v>74</v>
      </c>
      <c r="C52" s="227"/>
      <c r="D52" s="228">
        <v>2</v>
      </c>
      <c r="E52" s="193" t="s">
        <v>56</v>
      </c>
      <c r="F52" s="308">
        <v>0.09</v>
      </c>
      <c r="G52" s="214">
        <f>F52*$D$5</f>
        <v>12.6</v>
      </c>
      <c r="H52" s="195">
        <f>'Year 1'!$H$52</f>
        <v>2.2000000000000002</v>
      </c>
      <c r="I52" s="196"/>
      <c r="J52" s="197">
        <f>K52/$D$5</f>
        <v>0.39600000000000002</v>
      </c>
      <c r="K52" s="198">
        <f>H52*G52*D52</f>
        <v>55.440000000000005</v>
      </c>
    </row>
    <row r="53" spans="1:11" ht="15.6" x14ac:dyDescent="0.3">
      <c r="A53" s="2"/>
      <c r="B53" s="221" t="s">
        <v>65</v>
      </c>
      <c r="C53" s="229"/>
      <c r="D53" s="230">
        <v>0</v>
      </c>
      <c r="E53" s="193" t="s">
        <v>53</v>
      </c>
      <c r="F53" s="224">
        <f>IF(D53=0,0,$D$11/100*'Year 1'!$C53/$D$5)</f>
        <v>0</v>
      </c>
      <c r="G53" s="215">
        <f>F53*$D$5</f>
        <v>0</v>
      </c>
      <c r="H53" s="204">
        <f>'Year 1'!$H$53</f>
        <v>0</v>
      </c>
      <c r="I53" s="205"/>
      <c r="J53" s="206">
        <f>K53/$D$5</f>
        <v>0</v>
      </c>
      <c r="K53" s="207">
        <f>H53*G53*D53</f>
        <v>0</v>
      </c>
    </row>
    <row r="54" spans="1:11" ht="15.6" x14ac:dyDescent="0.3">
      <c r="A54" s="2"/>
      <c r="B54" s="21" t="s">
        <v>47</v>
      </c>
      <c r="C54" s="208"/>
      <c r="D54" s="209"/>
      <c r="E54" s="209"/>
      <c r="F54" s="209"/>
      <c r="G54" s="209"/>
      <c r="H54" s="217"/>
      <c r="I54" s="23"/>
      <c r="J54" s="23"/>
      <c r="K54" s="211">
        <f>SUM(K51:K53)</f>
        <v>152.922</v>
      </c>
    </row>
    <row r="55" spans="1:11" ht="15.6" x14ac:dyDescent="0.3">
      <c r="A55" s="2"/>
      <c r="B55" s="176" t="s">
        <v>65</v>
      </c>
      <c r="C55" s="177"/>
      <c r="D55" s="178"/>
      <c r="E55" s="178"/>
      <c r="F55" s="178"/>
      <c r="G55" s="178"/>
      <c r="H55" s="216"/>
      <c r="I55" s="179"/>
      <c r="J55" s="179"/>
      <c r="K55" s="180"/>
    </row>
    <row r="56" spans="1:11" ht="15.6" x14ac:dyDescent="0.3">
      <c r="A56" s="2"/>
      <c r="B56" s="181" t="s">
        <v>75</v>
      </c>
      <c r="C56" s="182"/>
      <c r="D56" s="185" t="s">
        <v>44</v>
      </c>
      <c r="E56" s="184" t="s">
        <v>76</v>
      </c>
      <c r="F56" s="185" t="s">
        <v>44</v>
      </c>
      <c r="G56" s="309">
        <v>5.95</v>
      </c>
      <c r="H56" s="186">
        <f>'Year 1'!$H$56</f>
        <v>30</v>
      </c>
      <c r="I56" s="187"/>
      <c r="J56" s="188">
        <f>K56/$D$5</f>
        <v>1.2749999999999999</v>
      </c>
      <c r="K56" s="189">
        <f>H56*G56</f>
        <v>178.5</v>
      </c>
    </row>
    <row r="57" spans="1:11" ht="15.6" x14ac:dyDescent="0.3">
      <c r="A57" s="2"/>
      <c r="B57" s="221" t="s">
        <v>77</v>
      </c>
      <c r="C57" s="200"/>
      <c r="D57" s="203" t="s">
        <v>44</v>
      </c>
      <c r="E57" s="202" t="s">
        <v>43</v>
      </c>
      <c r="F57" s="203" t="s">
        <v>44</v>
      </c>
      <c r="G57" s="310">
        <v>0</v>
      </c>
      <c r="H57" s="204">
        <f>'Year 1'!$H$57</f>
        <v>11</v>
      </c>
      <c r="I57" s="205"/>
      <c r="J57" s="206">
        <f>K57/$D$5</f>
        <v>0</v>
      </c>
      <c r="K57" s="207">
        <f>H57*G57</f>
        <v>0</v>
      </c>
    </row>
    <row r="58" spans="1:11" ht="15.6" x14ac:dyDescent="0.3">
      <c r="A58" s="2"/>
      <c r="B58" s="231" t="s">
        <v>78</v>
      </c>
      <c r="C58" s="232"/>
      <c r="D58" s="233"/>
      <c r="E58" s="233"/>
      <c r="F58" s="233"/>
      <c r="G58" s="233"/>
      <c r="H58" s="233"/>
      <c r="I58" s="235"/>
      <c r="J58" s="235">
        <f>SUM(J20:J57)</f>
        <v>16.951566714285718</v>
      </c>
      <c r="K58" s="236">
        <f>K57+K56+K54+K49+K43+K38+K28+K23</f>
        <v>2373.2193400000001</v>
      </c>
    </row>
    <row r="59" spans="1:11" ht="15.6" x14ac:dyDescent="0.3">
      <c r="A59" s="2"/>
      <c r="B59" s="2"/>
      <c r="C59" s="2"/>
      <c r="D59" s="2"/>
      <c r="E59" s="2"/>
      <c r="F59" s="2"/>
      <c r="G59" s="2"/>
      <c r="H59" s="2"/>
      <c r="I59" s="2"/>
      <c r="J59" s="2"/>
      <c r="K59" s="2"/>
    </row>
    <row r="60" spans="1:11" ht="15.6" x14ac:dyDescent="0.3">
      <c r="A60" s="2"/>
      <c r="B60" s="231" t="s">
        <v>79</v>
      </c>
      <c r="C60" s="232"/>
      <c r="D60" s="233"/>
      <c r="E60" s="233"/>
      <c r="F60" s="233"/>
      <c r="G60" s="233"/>
      <c r="H60" s="233"/>
      <c r="I60" s="235"/>
      <c r="J60" s="235"/>
      <c r="K60" s="237"/>
    </row>
    <row r="61" spans="1:11" ht="15.6" x14ac:dyDescent="0.3">
      <c r="A61" s="2"/>
      <c r="B61" s="181" t="s">
        <v>80</v>
      </c>
      <c r="C61" s="182"/>
      <c r="D61" s="183">
        <v>144</v>
      </c>
      <c r="E61" s="238"/>
      <c r="F61" s="238"/>
      <c r="G61" s="238"/>
      <c r="H61" s="238"/>
      <c r="I61" s="187"/>
      <c r="J61" s="187"/>
      <c r="K61" s="239"/>
    </row>
    <row r="62" spans="1:11" ht="15.6" x14ac:dyDescent="0.3">
      <c r="A62" s="2"/>
      <c r="B62" s="190" t="s">
        <v>81</v>
      </c>
      <c r="C62" s="191"/>
      <c r="D62" s="201">
        <v>99</v>
      </c>
      <c r="E62" s="240"/>
      <c r="F62" s="240"/>
      <c r="G62" s="240"/>
      <c r="H62" s="240"/>
      <c r="I62" s="196"/>
      <c r="J62" s="196"/>
      <c r="K62" s="241"/>
    </row>
    <row r="63" spans="1:11" ht="15.6" x14ac:dyDescent="0.3">
      <c r="A63" s="2"/>
      <c r="B63" s="190" t="s">
        <v>82</v>
      </c>
      <c r="C63" s="191"/>
      <c r="D63" s="194">
        <f>'Price and Yields'!$E$11*'Year 5'!$D$7</f>
        <v>5.6000000000000005</v>
      </c>
      <c r="E63" s="240" t="s">
        <v>83</v>
      </c>
      <c r="F63" s="240"/>
      <c r="G63" s="240"/>
      <c r="H63" s="240"/>
      <c r="I63" s="196"/>
      <c r="J63" s="196"/>
      <c r="K63" s="241"/>
    </row>
    <row r="64" spans="1:11" ht="15.6" x14ac:dyDescent="0.3">
      <c r="A64" s="2"/>
      <c r="B64" s="190" t="s">
        <v>84</v>
      </c>
      <c r="C64" s="191"/>
      <c r="D64" s="194">
        <f>'Price and Yields'!$E$12*'Year 5'!$D$7</f>
        <v>0</v>
      </c>
      <c r="E64" s="240" t="s">
        <v>83</v>
      </c>
      <c r="F64" s="240"/>
      <c r="G64" s="240"/>
      <c r="H64" s="240"/>
      <c r="I64" s="196"/>
      <c r="J64" s="196"/>
      <c r="K64" s="241"/>
    </row>
    <row r="65" spans="1:11" ht="15.6" x14ac:dyDescent="0.3">
      <c r="A65" s="2"/>
      <c r="B65" s="190" t="s">
        <v>85</v>
      </c>
      <c r="C65" s="191"/>
      <c r="D65" s="194">
        <f>'Price and Yields'!$E$13*'Year 5'!$D$7</f>
        <v>1.4000000000000001</v>
      </c>
      <c r="E65" s="240" t="s">
        <v>83</v>
      </c>
      <c r="F65" s="240"/>
      <c r="G65" s="240"/>
      <c r="H65" s="240"/>
      <c r="I65" s="196"/>
      <c r="J65" s="196"/>
      <c r="K65" s="241"/>
    </row>
    <row r="66" spans="1:11" ht="15.6" x14ac:dyDescent="0.3">
      <c r="A66" s="2"/>
      <c r="B66" s="199" t="s">
        <v>86</v>
      </c>
      <c r="C66" s="200"/>
      <c r="D66" s="203">
        <f>'Price and Yields'!E14*'Year 5'!D7</f>
        <v>0</v>
      </c>
      <c r="E66" s="242" t="s">
        <v>83</v>
      </c>
      <c r="F66" s="242"/>
      <c r="G66" s="242"/>
      <c r="H66" s="242"/>
      <c r="I66" s="205"/>
      <c r="J66" s="205"/>
      <c r="K66" s="243"/>
    </row>
    <row r="67" spans="1:11" ht="15.6" x14ac:dyDescent="0.3">
      <c r="A67" s="2"/>
      <c r="B67" s="176"/>
      <c r="C67" s="177"/>
      <c r="D67" s="244"/>
      <c r="E67" s="178"/>
      <c r="F67" s="178"/>
      <c r="G67" s="178"/>
      <c r="H67" s="178"/>
      <c r="I67" s="179"/>
      <c r="J67" s="179"/>
      <c r="K67" s="180"/>
    </row>
    <row r="68" spans="1:11" ht="31.2" x14ac:dyDescent="0.3">
      <c r="A68" s="11"/>
      <c r="B68" s="231" t="s">
        <v>87</v>
      </c>
      <c r="C68" s="14"/>
      <c r="D68" s="173" t="s">
        <v>88</v>
      </c>
      <c r="E68" s="173" t="s">
        <v>89</v>
      </c>
      <c r="F68" s="173" t="s">
        <v>28</v>
      </c>
      <c r="G68" s="173" t="s">
        <v>90</v>
      </c>
      <c r="H68" s="173"/>
      <c r="I68" s="174" t="s">
        <v>29</v>
      </c>
      <c r="J68" s="174" t="s">
        <v>30</v>
      </c>
      <c r="K68" s="175" t="s">
        <v>31</v>
      </c>
    </row>
    <row r="69" spans="1:11" ht="15.6" x14ac:dyDescent="0.3">
      <c r="A69" s="2"/>
      <c r="B69" s="181" t="s">
        <v>91</v>
      </c>
      <c r="C69" s="182"/>
      <c r="D69" s="245">
        <v>65</v>
      </c>
      <c r="E69" s="246">
        <v>6</v>
      </c>
      <c r="F69" s="247">
        <f>($D$63+$D$64+$D$65+$D$66)*$D$5</f>
        <v>980.00000000000011</v>
      </c>
      <c r="G69" s="248">
        <f>'Farm Parameters'!$D$10</f>
        <v>11</v>
      </c>
      <c r="H69" s="238"/>
      <c r="I69" s="188">
        <f>IF(ISERROR(J69/($D$63+$D$64+$D$65)),0,J69/($D$63+$D$64+$D$65))</f>
        <v>1.0153846153846153</v>
      </c>
      <c r="J69" s="189">
        <f>K69/$D$5</f>
        <v>7.1076923076923082</v>
      </c>
      <c r="K69" s="249">
        <f>G69*E69*F69/D69</f>
        <v>995.07692307692321</v>
      </c>
    </row>
    <row r="70" spans="1:11" ht="15.6" x14ac:dyDescent="0.3">
      <c r="A70" s="2"/>
      <c r="B70" s="190" t="s">
        <v>92</v>
      </c>
      <c r="C70" s="191"/>
      <c r="D70" s="250">
        <v>90</v>
      </c>
      <c r="E70" s="251">
        <v>6</v>
      </c>
      <c r="F70" s="252">
        <f>($D$63+$D$64)*$D$5</f>
        <v>784.00000000000011</v>
      </c>
      <c r="G70" s="253">
        <f>'Farm Parameters'!$D$10</f>
        <v>11</v>
      </c>
      <c r="H70" s="240"/>
      <c r="I70" s="197">
        <f>IF(ISERROR(J70/($D$63+$D$64)),0,J70/($D$63+$D$64))</f>
        <v>0.73333333333333339</v>
      </c>
      <c r="J70" s="198">
        <f>K70/$D$5</f>
        <v>4.1066666666666674</v>
      </c>
      <c r="K70" s="255">
        <f>G70*E70*F70/D70</f>
        <v>574.93333333333339</v>
      </c>
    </row>
    <row r="71" spans="1:11" ht="15.6" x14ac:dyDescent="0.3">
      <c r="A71" s="2"/>
      <c r="B71" s="190" t="s">
        <v>93</v>
      </c>
      <c r="C71" s="191"/>
      <c r="D71" s="256">
        <v>90</v>
      </c>
      <c r="E71" s="257">
        <v>6</v>
      </c>
      <c r="F71" s="258">
        <f>($D$65)*'Price and Yields'!$E$8/'Price and Yields'!$E$6*$D$5</f>
        <v>112.7</v>
      </c>
      <c r="G71" s="259">
        <f>'Farm Parameters'!$D$10</f>
        <v>11</v>
      </c>
      <c r="H71" s="240"/>
      <c r="I71" s="197">
        <f>IF(ISERROR(J71/($D$65)),0,J71/($D$65))</f>
        <v>0.42166666666666658</v>
      </c>
      <c r="J71" s="198">
        <f>K71/$D$5</f>
        <v>0.59033333333333327</v>
      </c>
      <c r="K71" s="255">
        <f>G71*E71*F71/D71</f>
        <v>82.646666666666661</v>
      </c>
    </row>
    <row r="72" spans="1:11" ht="15.6" x14ac:dyDescent="0.3">
      <c r="A72" s="2"/>
      <c r="B72" s="190" t="s">
        <v>94</v>
      </c>
      <c r="C72" s="191"/>
      <c r="D72" s="240"/>
      <c r="E72" s="240"/>
      <c r="F72" s="240"/>
      <c r="G72" s="240"/>
      <c r="H72" s="240"/>
      <c r="I72" s="254">
        <f>'Year 1'!$I$72</f>
        <v>1.35E-2</v>
      </c>
      <c r="J72" s="255">
        <f t="shared" ref="J72:J77" si="3">K72/$D$5</f>
        <v>9.4500000000000001E-2</v>
      </c>
      <c r="K72" s="255">
        <f t="shared" ref="K72:K77" si="4">I72*$D$7*$D$5</f>
        <v>13.23</v>
      </c>
    </row>
    <row r="73" spans="1:11" ht="15.6" x14ac:dyDescent="0.3">
      <c r="A73" s="2"/>
      <c r="B73" s="190" t="s">
        <v>95</v>
      </c>
      <c r="C73" s="191"/>
      <c r="D73" s="240"/>
      <c r="E73" s="240"/>
      <c r="F73" s="240"/>
      <c r="G73" s="240"/>
      <c r="H73" s="240"/>
      <c r="I73" s="254">
        <f>'Year 1'!$I$73</f>
        <v>0</v>
      </c>
      <c r="J73" s="255">
        <f t="shared" si="3"/>
        <v>0</v>
      </c>
      <c r="K73" s="255">
        <f t="shared" si="4"/>
        <v>0</v>
      </c>
    </row>
    <row r="74" spans="1:11" ht="15.6" x14ac:dyDescent="0.3">
      <c r="A74" s="2"/>
      <c r="B74" s="190" t="s">
        <v>96</v>
      </c>
      <c r="C74" s="191"/>
      <c r="D74" s="240"/>
      <c r="E74" s="240"/>
      <c r="F74" s="240"/>
      <c r="G74" s="240"/>
      <c r="H74" s="240"/>
      <c r="I74" s="254">
        <f>'Year 1'!$I$74</f>
        <v>1.65</v>
      </c>
      <c r="J74" s="255">
        <f>I74*(D63+D64)</f>
        <v>9.24</v>
      </c>
      <c r="K74" s="255">
        <f>J74*$D$5</f>
        <v>1293.6000000000001</v>
      </c>
    </row>
    <row r="75" spans="1:11" ht="15.6" x14ac:dyDescent="0.3">
      <c r="A75" s="2"/>
      <c r="B75" s="190" t="s">
        <v>97</v>
      </c>
      <c r="C75" s="191"/>
      <c r="D75" s="240"/>
      <c r="E75" s="240"/>
      <c r="F75" s="240"/>
      <c r="G75" s="240"/>
      <c r="H75" s="240"/>
      <c r="I75" s="254">
        <f>'Year 1'!$I$75</f>
        <v>1.38</v>
      </c>
      <c r="J75" s="255">
        <f>I75*($D$65)*'Price and Yields'!$E$8/'Price and Yields'!$E$6</f>
        <v>1.1109</v>
      </c>
      <c r="K75" s="255">
        <f>J75*$D$5</f>
        <v>155.52600000000001</v>
      </c>
    </row>
    <row r="76" spans="1:11" ht="15.6" x14ac:dyDescent="0.3">
      <c r="A76" s="2"/>
      <c r="B76" s="190" t="s">
        <v>98</v>
      </c>
      <c r="C76" s="191"/>
      <c r="D76" s="240"/>
      <c r="E76" s="240"/>
      <c r="F76" s="240"/>
      <c r="G76" s="240"/>
      <c r="H76" s="240"/>
      <c r="I76" s="254">
        <f>'Year 1'!$I$76</f>
        <v>0.02</v>
      </c>
      <c r="J76" s="255">
        <f t="shared" si="3"/>
        <v>0.14000000000000001</v>
      </c>
      <c r="K76" s="255">
        <f t="shared" si="4"/>
        <v>19.600000000000001</v>
      </c>
    </row>
    <row r="77" spans="1:11" ht="15.6" x14ac:dyDescent="0.3">
      <c r="A77" s="2"/>
      <c r="B77" s="190" t="s">
        <v>99</v>
      </c>
      <c r="C77" s="191"/>
      <c r="D77" s="240"/>
      <c r="E77" s="240"/>
      <c r="F77" s="240"/>
      <c r="G77" s="240"/>
      <c r="H77" s="240"/>
      <c r="I77" s="254">
        <f>'Year 1'!$I$77</f>
        <v>0.05</v>
      </c>
      <c r="J77" s="255">
        <f t="shared" si="3"/>
        <v>0.35000000000000003</v>
      </c>
      <c r="K77" s="255">
        <f t="shared" si="4"/>
        <v>49.000000000000007</v>
      </c>
    </row>
    <row r="78" spans="1:11" ht="15.6" x14ac:dyDescent="0.3">
      <c r="A78" s="2"/>
      <c r="B78" s="190" t="s">
        <v>100</v>
      </c>
      <c r="C78" s="19">
        <v>0.125</v>
      </c>
      <c r="D78" s="240"/>
      <c r="E78" s="240"/>
      <c r="F78" s="240"/>
      <c r="G78" s="240"/>
      <c r="H78" s="240"/>
      <c r="I78" s="197">
        <f>C78*'Price and Yields'!$C$16*'Price and Yields'!$E$8</f>
        <v>1.7868750000000002</v>
      </c>
      <c r="J78" s="198">
        <f>I78*(D63+D64+D65)</f>
        <v>12.508125000000003</v>
      </c>
      <c r="K78" s="255">
        <f>J78*D5</f>
        <v>1751.1375000000005</v>
      </c>
    </row>
    <row r="79" spans="1:11" ht="15.6" x14ac:dyDescent="0.3">
      <c r="A79" s="2"/>
      <c r="B79" s="199" t="s">
        <v>101</v>
      </c>
      <c r="C79" s="6">
        <v>0.31</v>
      </c>
      <c r="D79" s="242"/>
      <c r="E79" s="242"/>
      <c r="F79" s="242"/>
      <c r="G79" s="242"/>
      <c r="H79" s="242"/>
      <c r="I79" s="206">
        <f>C79</f>
        <v>0.31</v>
      </c>
      <c r="J79" s="207">
        <f>I79*(D63+D64)+I79*(D65*'Price and Yields'!$E$8/'Price and Yields'!$E$6)</f>
        <v>1.9855500000000001</v>
      </c>
      <c r="K79" s="260">
        <f>J79*D5</f>
        <v>277.97700000000003</v>
      </c>
    </row>
    <row r="80" spans="1:11" ht="15.6" x14ac:dyDescent="0.3">
      <c r="A80" s="11"/>
      <c r="B80" s="261" t="s">
        <v>102</v>
      </c>
      <c r="C80" s="262"/>
      <c r="D80" s="263" t="s">
        <v>103</v>
      </c>
      <c r="E80" s="263"/>
      <c r="F80" s="263"/>
      <c r="G80" s="263"/>
      <c r="H80" s="263"/>
      <c r="I80" s="264"/>
      <c r="J80" s="264"/>
      <c r="K80" s="265"/>
    </row>
    <row r="81" spans="1:11" ht="15.6" x14ac:dyDescent="0.3">
      <c r="A81" s="2"/>
      <c r="B81" s="181" t="s">
        <v>104</v>
      </c>
      <c r="C81" s="182"/>
      <c r="D81" s="266">
        <v>145</v>
      </c>
      <c r="E81" s="238"/>
      <c r="F81" s="238"/>
      <c r="G81" s="238"/>
      <c r="H81" s="238"/>
      <c r="I81" s="188">
        <f>D81/$D$61</f>
        <v>1.0069444444444444</v>
      </c>
      <c r="J81" s="189">
        <f>I81*($D$63)</f>
        <v>5.6388888888888893</v>
      </c>
      <c r="K81" s="249">
        <f>J81*$D$5</f>
        <v>789.44444444444446</v>
      </c>
    </row>
    <row r="82" spans="1:11" ht="15.6" x14ac:dyDescent="0.3">
      <c r="A82" s="2"/>
      <c r="B82" s="190" t="s">
        <v>105</v>
      </c>
      <c r="C82" s="191"/>
      <c r="D82" s="267">
        <v>145</v>
      </c>
      <c r="E82" s="240"/>
      <c r="F82" s="240"/>
      <c r="G82" s="240"/>
      <c r="H82" s="240"/>
      <c r="I82" s="197">
        <f>D82/D61</f>
        <v>1.0069444444444444</v>
      </c>
      <c r="J82" s="198">
        <f>I82*($D$64)</f>
        <v>0</v>
      </c>
      <c r="K82" s="255">
        <f>J82*$D$5</f>
        <v>0</v>
      </c>
    </row>
    <row r="83" spans="1:11" ht="15.6" x14ac:dyDescent="0.3">
      <c r="A83" s="2"/>
      <c r="B83" s="199" t="s">
        <v>106</v>
      </c>
      <c r="C83" s="200"/>
      <c r="D83" s="268">
        <v>145</v>
      </c>
      <c r="E83" s="242"/>
      <c r="F83" s="242"/>
      <c r="G83" s="242"/>
      <c r="H83" s="242"/>
      <c r="I83" s="206">
        <f>D83/$D$62</f>
        <v>1.4646464646464648</v>
      </c>
      <c r="J83" s="207">
        <f>I83*($D$65)*'Price and Yields'!$E$8/'Price and Yields'!$E$6</f>
        <v>1.1790404040404043</v>
      </c>
      <c r="K83" s="260">
        <f>J83*$D$5</f>
        <v>165.06565656565661</v>
      </c>
    </row>
    <row r="84" spans="1:11" ht="15.6" x14ac:dyDescent="0.3">
      <c r="A84" s="2"/>
      <c r="B84" s="231" t="s">
        <v>107</v>
      </c>
      <c r="C84" s="232"/>
      <c r="D84" s="233"/>
      <c r="E84" s="233"/>
      <c r="F84" s="233"/>
      <c r="G84" s="233"/>
      <c r="H84" s="233"/>
      <c r="I84" s="235">
        <f>SUM(I69:I83)</f>
        <v>10.859294968919968</v>
      </c>
      <c r="J84" s="235">
        <f>SUM(J69:J83)</f>
        <v>44.051696600621611</v>
      </c>
      <c r="K84" s="237">
        <f>SUM(K69:K83)</f>
        <v>6167.2375240870242</v>
      </c>
    </row>
    <row r="85" spans="1:11" ht="15.6" x14ac:dyDescent="0.3">
      <c r="A85" s="2"/>
      <c r="B85" s="2"/>
      <c r="C85" s="162"/>
      <c r="D85" s="162"/>
      <c r="E85" s="162"/>
      <c r="F85" s="162"/>
      <c r="G85" s="162"/>
      <c r="H85" s="162"/>
      <c r="I85" s="164"/>
      <c r="J85" s="164"/>
      <c r="K85" s="164"/>
    </row>
    <row r="86" spans="1:11" ht="15.6" x14ac:dyDescent="0.3">
      <c r="A86" s="2"/>
      <c r="B86" s="231" t="s">
        <v>108</v>
      </c>
      <c r="C86" s="232"/>
      <c r="D86" s="233"/>
      <c r="E86" s="233"/>
      <c r="F86" s="233"/>
      <c r="G86" s="233"/>
      <c r="H86" s="233"/>
      <c r="I86" s="235"/>
      <c r="J86" s="235">
        <f>J84+J58</f>
        <v>61.003263314907329</v>
      </c>
      <c r="K86" s="237">
        <f>K84+K58</f>
        <v>8540.4568640870239</v>
      </c>
    </row>
    <row r="87" spans="1:11" ht="15.6" x14ac:dyDescent="0.3">
      <c r="A87" s="2"/>
      <c r="B87" s="269" t="s">
        <v>109</v>
      </c>
      <c r="C87" s="270"/>
      <c r="D87" s="234"/>
      <c r="E87" s="234"/>
      <c r="F87" s="234"/>
      <c r="G87" s="234"/>
      <c r="H87" s="234"/>
      <c r="I87" s="271"/>
      <c r="J87" s="271">
        <f>J14-J86</f>
        <v>39.061736685092683</v>
      </c>
      <c r="K87" s="272">
        <f>K14-K86</f>
        <v>5468.6431359129783</v>
      </c>
    </row>
    <row r="88" spans="1:11" ht="15.6" x14ac:dyDescent="0.3">
      <c r="A88" s="2"/>
      <c r="B88" s="2"/>
      <c r="C88" s="162"/>
      <c r="D88" s="273"/>
      <c r="E88" s="273"/>
      <c r="F88" s="273"/>
      <c r="G88" s="273"/>
      <c r="H88" s="273"/>
      <c r="I88" s="164"/>
      <c r="J88" s="164"/>
      <c r="K88" s="164"/>
    </row>
    <row r="89" spans="1:11" ht="15.6" x14ac:dyDescent="0.3">
      <c r="A89" s="2"/>
      <c r="B89" s="2" t="s">
        <v>110</v>
      </c>
      <c r="C89" s="162"/>
      <c r="D89" s="273"/>
      <c r="E89" s="273"/>
      <c r="F89" s="273"/>
      <c r="G89" s="273"/>
      <c r="H89" s="273"/>
      <c r="I89" s="164"/>
      <c r="J89" s="164"/>
      <c r="K89" s="164"/>
    </row>
    <row r="90" spans="1:11" ht="15.6" x14ac:dyDescent="0.3">
      <c r="A90" s="2"/>
      <c r="B90" s="2" t="s">
        <v>111</v>
      </c>
      <c r="C90" s="162"/>
      <c r="D90" s="162"/>
      <c r="E90" s="162"/>
      <c r="F90" s="162"/>
      <c r="G90" s="162"/>
      <c r="H90" s="162"/>
      <c r="I90" s="164"/>
      <c r="J90" s="164"/>
      <c r="K90" s="164"/>
    </row>
    <row r="91" spans="1:11" ht="15.6" x14ac:dyDescent="0.3">
      <c r="A91" s="2"/>
      <c r="B91" s="2"/>
      <c r="C91" s="162"/>
      <c r="D91" s="162"/>
      <c r="E91" s="162"/>
      <c r="F91" s="162"/>
      <c r="G91" s="162"/>
      <c r="H91" s="162"/>
      <c r="I91" s="164"/>
      <c r="J91" s="164"/>
      <c r="K91" s="164"/>
    </row>
  </sheetData>
  <sheetProtection password="8D83" sheet="1" objects="1" scenarios="1"/>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Title</vt:lpstr>
      <vt:lpstr>Farm Parameters</vt:lpstr>
      <vt:lpstr>Price and Yields</vt:lpstr>
      <vt:lpstr>GM Information</vt:lpstr>
      <vt:lpstr>Year 1</vt:lpstr>
      <vt:lpstr>Year 2</vt:lpstr>
      <vt:lpstr>Year 3</vt:lpstr>
      <vt:lpstr>Year 4</vt:lpstr>
      <vt:lpstr>Year 5</vt:lpstr>
      <vt:lpstr>Year 6</vt:lpstr>
      <vt:lpstr>Year 7</vt:lpstr>
      <vt:lpstr>Year 8</vt:lpstr>
      <vt:lpstr>Year 9</vt:lpstr>
      <vt:lpstr>Year 10</vt:lpstr>
      <vt:lpstr>Year 11</vt:lpstr>
      <vt:lpstr>Year 12+</vt:lpstr>
      <vt:lpstr>Fixed</vt:lpstr>
      <vt:lpstr>Capital Costs</vt:lpstr>
      <vt:lpstr>DCF</vt:lpstr>
      <vt:lpstr>Graphs</vt:lpstr>
      <vt:lpstr>Summary</vt:lpstr>
    </vt:vector>
  </TitlesOfParts>
  <Company>Department of Primary Industries &amp; Fisheries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Johnston</dc:creator>
  <cp:lastModifiedBy>Rolfe Ellem</cp:lastModifiedBy>
  <dcterms:created xsi:type="dcterms:W3CDTF">2007-03-18T21:20:45Z</dcterms:created>
  <dcterms:modified xsi:type="dcterms:W3CDTF">2018-01-17T03:18:05Z</dcterms:modified>
</cp:coreProperties>
</file>